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 codeName="{144559BF-596A-2B24-0A50-F0D1D4C42CD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cho\Downloads\"/>
    </mc:Choice>
  </mc:AlternateContent>
  <xr:revisionPtr revIDLastSave="0" documentId="13_ncr:1_{83F82A5E-7DE9-429D-9678-2D1A217485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ster" sheetId="3" r:id="rId1"/>
    <sheet name="Record Chart" sheetId="8" r:id="rId2"/>
    <sheet name="Pass" sheetId="7" r:id="rId3"/>
  </sheets>
  <definedNames>
    <definedName name="_xlnm._FilterDatabase" localSheetId="0" hidden="1">Roster!$AN$1:$AX$963</definedName>
    <definedName name="_xlnm.Print_Area" localSheetId="0">Roster!$A$1:$Z$39</definedName>
    <definedName name="HECHICEROS">Roster!$AK$85:$AK$92</definedName>
    <definedName name="IDIOMAS">Roster!$AJ$2:$AJ$3</definedName>
    <definedName name="INFAME">Roster!$AK$70:$AK$75</definedName>
    <definedName name="INFAMOUS">Roster!$AK$64:$AK$69</definedName>
    <definedName name="PERSONAL_INFAME">Roster!$AK$70:$AK$75</definedName>
    <definedName name="RACE">Roster!$AJ$6:$AJ$33</definedName>
    <definedName name="RAZA">Roster!$AJ$34:$AJ$61</definedName>
    <definedName name="_xlnm.Print_Titles" localSheetId="1">'Record Chart'!$1:$2</definedName>
    <definedName name="WIZARDS">Roster!$AK$77:$AK$84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6" i="3" l="1"/>
  <c r="Z26" i="3" s="1"/>
  <c r="O26" i="3"/>
  <c r="W25" i="3"/>
  <c r="N26" i="3"/>
  <c r="A25" i="3" l="1"/>
  <c r="O22" i="3" l="1"/>
  <c r="W24" i="3"/>
  <c r="O25" i="3"/>
  <c r="O24" i="3"/>
  <c r="G22" i="3"/>
  <c r="C5" i="8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4" i="8"/>
  <c r="A20" i="3" l="1"/>
  <c r="Z25" i="3" l="1"/>
  <c r="Z24" i="3" l="1"/>
  <c r="N25" i="3"/>
  <c r="N24" i="3"/>
  <c r="G25" i="3"/>
  <c r="G24" i="3"/>
  <c r="O21" i="3"/>
  <c r="O20" i="3"/>
  <c r="AF2" i="3" l="1"/>
  <c r="AF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AE2" i="3"/>
  <c r="C1" i="3"/>
  <c r="L23" i="3" l="1"/>
  <c r="W23" i="3"/>
  <c r="U30" i="3" l="1"/>
  <c r="L21" i="3"/>
  <c r="L19" i="3"/>
  <c r="T39" i="3" l="1"/>
  <c r="T38" i="3"/>
  <c r="X32" i="3"/>
  <c r="X33" i="3"/>
  <c r="X34" i="3"/>
  <c r="X35" i="3"/>
  <c r="S10" i="7" l="1"/>
  <c r="S8" i="7"/>
  <c r="S6" i="7"/>
  <c r="S4" i="7"/>
  <c r="S2" i="7"/>
  <c r="C3" i="8"/>
  <c r="I2" i="8"/>
  <c r="H2" i="8"/>
  <c r="G2" i="8"/>
  <c r="F2" i="8"/>
  <c r="L1" i="8"/>
  <c r="K1" i="8"/>
  <c r="J1" i="8"/>
  <c r="H1" i="8"/>
  <c r="E1" i="8"/>
  <c r="D1" i="8"/>
  <c r="C1" i="8"/>
  <c r="A1" i="8"/>
  <c r="R39" i="3"/>
  <c r="R38" i="3"/>
  <c r="W37" i="3"/>
  <c r="U35" i="3"/>
  <c r="U34" i="3"/>
  <c r="R34" i="3"/>
  <c r="U33" i="3"/>
  <c r="U32" i="3"/>
  <c r="U31" i="3"/>
  <c r="U29" i="3"/>
  <c r="R29" i="3"/>
  <c r="O29" i="3"/>
  <c r="N29" i="3"/>
  <c r="I29" i="3"/>
  <c r="H29" i="3"/>
  <c r="F29" i="3"/>
  <c r="E29" i="3"/>
  <c r="D29" i="3"/>
  <c r="B29" i="3"/>
  <c r="Y28" i="3"/>
  <c r="R28" i="3"/>
  <c r="B28" i="3"/>
  <c r="A24" i="3"/>
  <c r="A23" i="3"/>
  <c r="W22" i="3"/>
  <c r="A22" i="3"/>
  <c r="A21" i="3"/>
  <c r="G20" i="3"/>
  <c r="O19" i="3"/>
  <c r="G19" i="3"/>
  <c r="A19" i="3"/>
  <c r="O18" i="3"/>
  <c r="G18" i="3"/>
  <c r="A18" i="3"/>
  <c r="AH1" i="3"/>
  <c r="AG1" i="3"/>
  <c r="AF1" i="3"/>
  <c r="AE1" i="3"/>
  <c r="AD1" i="3"/>
  <c r="AB1" i="3"/>
  <c r="AA1" i="3"/>
  <c r="Z1" i="3"/>
  <c r="Y1" i="3"/>
  <c r="W1" i="3"/>
  <c r="V1" i="3"/>
  <c r="U1" i="3"/>
  <c r="Q1" i="3"/>
  <c r="P1" i="3"/>
  <c r="I1" i="3"/>
  <c r="H1" i="3"/>
  <c r="F1" i="3"/>
  <c r="E1" i="3"/>
  <c r="D1" i="3"/>
  <c r="B1" i="3"/>
  <c r="W18" i="3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Z23" i="3"/>
  <c r="N21" i="3"/>
  <c r="N19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N20" i="3"/>
  <c r="N22" i="3"/>
  <c r="N23" i="3"/>
  <c r="N18" i="3"/>
  <c r="Z3" i="3"/>
  <c r="AF4" i="3"/>
  <c r="Z4" i="3" s="1"/>
  <c r="AF5" i="3"/>
  <c r="Z5" i="3" s="1"/>
  <c r="AF6" i="3"/>
  <c r="Z6" i="3" s="1"/>
  <c r="AF7" i="3"/>
  <c r="Z7" i="3" s="1"/>
  <c r="AF8" i="3"/>
  <c r="Z8" i="3" s="1"/>
  <c r="AF9" i="3"/>
  <c r="Z9" i="3" s="1"/>
  <c r="AF10" i="3"/>
  <c r="Z10" i="3" s="1"/>
  <c r="AF11" i="3"/>
  <c r="Z11" i="3" s="1"/>
  <c r="AF12" i="3"/>
  <c r="Z12" i="3" s="1"/>
  <c r="AF13" i="3"/>
  <c r="Z13" i="3" s="1"/>
  <c r="AF14" i="3"/>
  <c r="Z14" i="3" s="1"/>
  <c r="AF15" i="3"/>
  <c r="Z15" i="3" s="1"/>
  <c r="AF16" i="3"/>
  <c r="Z16" i="3" s="1"/>
  <c r="AF17" i="3"/>
  <c r="Z17" i="3" s="1"/>
  <c r="AB17" i="3"/>
  <c r="AC17" i="3"/>
  <c r="AD17" i="3"/>
  <c r="AB3" i="3"/>
  <c r="AC3" i="3"/>
  <c r="AD3" i="3"/>
  <c r="AB4" i="3"/>
  <c r="AC4" i="3"/>
  <c r="AD4" i="3"/>
  <c r="AB5" i="3"/>
  <c r="AC5" i="3"/>
  <c r="AD5" i="3"/>
  <c r="AB6" i="3"/>
  <c r="AC6" i="3"/>
  <c r="AD6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Z2" i="3"/>
  <c r="AD2" i="3"/>
  <c r="AC2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2" i="3"/>
  <c r="Y2" i="3" s="1"/>
  <c r="X31" i="3" l="1"/>
  <c r="Y31" i="3" s="1"/>
  <c r="X29" i="3"/>
  <c r="Y29" i="3" s="1"/>
  <c r="X30" i="3"/>
  <c r="Y30" i="3" s="1"/>
  <c r="Y33" i="3"/>
  <c r="Y32" i="3"/>
  <c r="W38" i="3"/>
  <c r="Y35" i="3"/>
  <c r="W39" i="3"/>
  <c r="Y34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Z22" i="3"/>
  <c r="Z21" i="3"/>
  <c r="Z20" i="3"/>
  <c r="Z19" i="3"/>
  <c r="Z18" i="3"/>
  <c r="D20" i="3" l="1"/>
</calcChain>
</file>

<file path=xl/sharedStrings.xml><?xml version="1.0" encoding="utf-8"?>
<sst xmlns="http://schemas.openxmlformats.org/spreadsheetml/2006/main" count="5154" uniqueCount="888">
  <si>
    <t>English</t>
  </si>
  <si>
    <t>Español</t>
  </si>
  <si>
    <t>Linewoman</t>
  </si>
  <si>
    <t>Thrower</t>
  </si>
  <si>
    <t>Catcher</t>
  </si>
  <si>
    <t>Blitzer</t>
  </si>
  <si>
    <t>Amazon</t>
  </si>
  <si>
    <t>Race</t>
  </si>
  <si>
    <t>Position</t>
  </si>
  <si>
    <t>Qty</t>
  </si>
  <si>
    <t>Cost</t>
  </si>
  <si>
    <t>MA</t>
  </si>
  <si>
    <t>ST</t>
  </si>
  <si>
    <t>AG</t>
  </si>
  <si>
    <t>AV</t>
  </si>
  <si>
    <t>Skills</t>
  </si>
  <si>
    <t>Normal</t>
  </si>
  <si>
    <t>Double</t>
  </si>
  <si>
    <t>Dodge</t>
  </si>
  <si>
    <t>Dodge, Pass</t>
  </si>
  <si>
    <t>Dodge, Catch</t>
  </si>
  <si>
    <t>Dodge, Block</t>
  </si>
  <si>
    <t>G</t>
  </si>
  <si>
    <t>GP</t>
  </si>
  <si>
    <t>GA</t>
  </si>
  <si>
    <t>GS</t>
  </si>
  <si>
    <t>ASP</t>
  </si>
  <si>
    <t>AS</t>
  </si>
  <si>
    <t>SP</t>
  </si>
  <si>
    <t>AP</t>
  </si>
  <si>
    <t>Helmut Wulf</t>
  </si>
  <si>
    <t>Willow Rosebark</t>
  </si>
  <si>
    <t>Roxanna Darknail</t>
  </si>
  <si>
    <t>Zara the Slayer</t>
  </si>
  <si>
    <t>Bertha Bigfist</t>
  </si>
  <si>
    <t>Morg 'n' Thorg</t>
  </si>
  <si>
    <t>Journeywoman</t>
  </si>
  <si>
    <t>-</t>
  </si>
  <si>
    <t>Beastman</t>
  </si>
  <si>
    <t>Horns</t>
  </si>
  <si>
    <t>GSM</t>
  </si>
  <si>
    <t>Chaos Warrior</t>
  </si>
  <si>
    <t>Minotaur</t>
  </si>
  <si>
    <t>Loner, Frenzy, Horns, Mighty Blow, Thick Skull, Wild Animal</t>
  </si>
  <si>
    <t>SM</t>
  </si>
  <si>
    <t>GAP</t>
  </si>
  <si>
    <t>Journeyman</t>
  </si>
  <si>
    <t>Max Spleenripper</t>
  </si>
  <si>
    <t>Lewdgrip Whiparm</t>
  </si>
  <si>
    <t>Brick Far'th</t>
  </si>
  <si>
    <t>Grotty</t>
  </si>
  <si>
    <t>Lord Borak the Despoiler</t>
  </si>
  <si>
    <t>Grashnak Blackhoof</t>
  </si>
  <si>
    <t>Re-roll</t>
  </si>
  <si>
    <t>Language</t>
  </si>
  <si>
    <t>Hobgoblin</t>
  </si>
  <si>
    <t>Blocker</t>
  </si>
  <si>
    <t>Bull Centaur</t>
  </si>
  <si>
    <t>Block, Tackle, Thick Skull</t>
  </si>
  <si>
    <t>APM</t>
  </si>
  <si>
    <t>Sprint, Sure Feet, Thick Skull</t>
  </si>
  <si>
    <t>S</t>
  </si>
  <si>
    <t>GAPM</t>
  </si>
  <si>
    <t>Loner, Horns</t>
  </si>
  <si>
    <t>Loner, Dodge</t>
  </si>
  <si>
    <t>Loner</t>
  </si>
  <si>
    <t>Zzharg Madeye</t>
  </si>
  <si>
    <t>Nobbla Blackwart</t>
  </si>
  <si>
    <t>Rashnak Backstabber</t>
  </si>
  <si>
    <t>Hthark the Unstoppable</t>
  </si>
  <si>
    <t>Lineman</t>
  </si>
  <si>
    <t>Runner</t>
  </si>
  <si>
    <t>Assassin</t>
  </si>
  <si>
    <t>Shadowing, Stab</t>
  </si>
  <si>
    <t>Nº</t>
  </si>
  <si>
    <t>COM</t>
  </si>
  <si>
    <t>TD</t>
  </si>
  <si>
    <t>INT</t>
  </si>
  <si>
    <t>MVP</t>
  </si>
  <si>
    <t>X</t>
  </si>
  <si>
    <t>=</t>
  </si>
  <si>
    <t>APOTHECARY</t>
  </si>
  <si>
    <t>Total</t>
  </si>
  <si>
    <t>Touchdowns</t>
  </si>
  <si>
    <t>Apothecary</t>
  </si>
  <si>
    <t>A</t>
  </si>
  <si>
    <t>Barik Farblast</t>
  </si>
  <si>
    <t>Loner, Hail Mary Pass, Pass, Secret Weapon, Strong Arm, Sure Hands, Thick Skull</t>
  </si>
  <si>
    <t>Loner, Bone-head, Break Tackle, Dodge, Mighty Blow, Thick Skull, Throw Team-Mate</t>
  </si>
  <si>
    <t>Loner, Bone-head, Mighty Blow, Nerves of Steel, Strong Arm, Thick Skull, Throw Team-Mate</t>
  </si>
  <si>
    <t>Loner, Dodge, Right Stuff, Stunty</t>
  </si>
  <si>
    <t>Bomber Dribblesnot</t>
  </si>
  <si>
    <t>Loner, Accurate, Bombardier, Dodge, Right Stuff, Secret Weapon, Stunty</t>
  </si>
  <si>
    <t>Boomer Eziasson</t>
  </si>
  <si>
    <t>Loner, Accurate, Block, Bombardier, Secret Weapon, Thick Skull</t>
  </si>
  <si>
    <t>Count Luthor von Drakenborg</t>
  </si>
  <si>
    <t>Loner, Block, Hypnotic Gaze, Regeneration, Side Step</t>
  </si>
  <si>
    <t>Crazy Igor</t>
  </si>
  <si>
    <t>Loner, Dauntless, Regeneration, Thick Skull</t>
  </si>
  <si>
    <t>Deeproot Strongbranch</t>
  </si>
  <si>
    <t>Dolfar Longstride</t>
  </si>
  <si>
    <t>Loner, Diving Catch, Hail Mary Pass, Kick, Kick-off Return, Pass Block</t>
  </si>
  <si>
    <t>Eldril Sidewinder</t>
  </si>
  <si>
    <t>Loner, Catch, Dodge, Hypnotic Gaze, Nerves of Steel, Pass Block</t>
  </si>
  <si>
    <t>Fezglitch</t>
  </si>
  <si>
    <t>Flint Churnblade</t>
  </si>
  <si>
    <t>Fungus the Loon</t>
  </si>
  <si>
    <t>Griff Oberwald</t>
  </si>
  <si>
    <t>Grim Ironjaw</t>
  </si>
  <si>
    <t>Hakflem Skuttlespike</t>
  </si>
  <si>
    <t>Headsplitter</t>
  </si>
  <si>
    <t>Horkon Heartripper</t>
  </si>
  <si>
    <t>Humerus Carpal</t>
  </si>
  <si>
    <t>Ithaca Benoin</t>
  </si>
  <si>
    <t>J Earlice</t>
  </si>
  <si>
    <t>Jordell Freshbreeze</t>
  </si>
  <si>
    <t>Mighty Zug</t>
  </si>
  <si>
    <t>Prince Moranion</t>
  </si>
  <si>
    <t>Quetzal Leap</t>
  </si>
  <si>
    <t>Ramtut III</t>
  </si>
  <si>
    <t>Scrappa Sorehead</t>
  </si>
  <si>
    <t>Sinnedbad</t>
  </si>
  <si>
    <t>Slibli</t>
  </si>
  <si>
    <t>Soaren Hightower</t>
  </si>
  <si>
    <t>Varag Ghoul-Chewer</t>
  </si>
  <si>
    <t>Karla von Kill</t>
  </si>
  <si>
    <t>Madcap Miggz</t>
  </si>
  <si>
    <t>Guffle Pusmaw</t>
  </si>
  <si>
    <t>The Swift Twins: Lucien</t>
  </si>
  <si>
    <t>The Swift Twins: Valen</t>
  </si>
  <si>
    <t>Loner, Ball &amp; Chain, Disturbing Presence, Foul Appearance, No Hands, Secret Weapon</t>
  </si>
  <si>
    <t>Loner, Block, Chainsaw, Secret Weapon, Thick Skull</t>
  </si>
  <si>
    <t>Loner, Ball &amp; Chain, Mighty Blow, No Hands, Secret Weapon, Stunty</t>
  </si>
  <si>
    <t>Loner, Frenzy, Thick Skull, Horns, Mighty Blow</t>
  </si>
  <si>
    <t>Loner, Thick Skull, Block, Multiple Block, Frenzy, Dauntless</t>
  </si>
  <si>
    <t>Loner, Chainsaw, Regeneration, Secret Weapon, Side Step</t>
  </si>
  <si>
    <t>Loner, Dodge, Prehensile Tail, Extra Arms, Two Heads</t>
  </si>
  <si>
    <t>Loner, Mighty Blow, Prehensile Tail</t>
  </si>
  <si>
    <t>Loner, Chainsaw, Secret Weapon, Stand Firm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</si>
  <si>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</si>
  <si>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</si>
  <si>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</si>
  <si>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Loner, Block, Dirty Player, Jump Up, Mighty Blow, Strip Ball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</si>
  <si>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</si>
  <si>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</si>
  <si>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</si>
  <si>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Loner, Catch, Diving Catch, Dodge, Sprint</t>
  </si>
  <si>
    <t>Loner, Block, Dodge, Leap, Diving Catch, Side Step</t>
  </si>
  <si>
    <t>Loner, Catch, Diving Tackle, Jump Up, Leap, Pass Block, Shadowing, Very Long Legs</t>
  </si>
  <si>
    <t>Loner, Chainsaw, Secret Weapon</t>
  </si>
  <si>
    <t>Loner, Block, Mighty Blow</t>
  </si>
  <si>
    <t>Loner, Block, Mighty Blow, Thick Skull, Throw Team-mate</t>
  </si>
  <si>
    <t>Loner, Block, Dodge, Chainsaw, Secret Weapon, Stunty</t>
  </si>
  <si>
    <t>Loner, Block, Dauntless, Tackle, Wrestle</t>
  </si>
  <si>
    <t>Loner, Block, Dodge, Nerves of Steel, Right Stuff, Stunty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</si>
  <si>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</si>
  <si>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</si>
  <si>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</si>
  <si>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Throw Team-mate, Regeneration</t>
  </si>
  <si>
    <t>Loner, Dodge, Frenzy, Jump Up, Juggernaut, Leap</t>
  </si>
  <si>
    <t>Loner, Block, Break Tackle, Juggernaut, Regeneration, Strip Ball</t>
  </si>
  <si>
    <t>Loner, Block, Jump Up, Pass Block, Regeneration, Secret Weapon, Side Step, Stab</t>
  </si>
  <si>
    <t>Loner, Dodge, Prehensile Tail, Shadowing, Stab</t>
  </si>
  <si>
    <t>Loner, Block, Grab, Guard, Stand Firm</t>
  </si>
  <si>
    <t>Loner, Fend, Kick-off Return, Pass, Safe Throw, Sure Hands, Strong Arm</t>
  </si>
  <si>
    <t>Loner, Block, Jump Up, Mighty Blow, Thick Skull</t>
  </si>
  <si>
    <t>Loner, Catch, Claws, Frenzy, Regeneration, Wrestle</t>
  </si>
  <si>
    <t>Loner, Dauntless, Side Step, Thick Skull</t>
  </si>
  <si>
    <t>Loner, Block, Dauntless, Dodge, Jump Up, Stab, Stakes</t>
  </si>
  <si>
    <t>Loner, Block, Dauntless, Dodge, Jump Up</t>
  </si>
  <si>
    <t>Loner, Break Tackle, Claws, Leap, No Hands, Very Long Legs, Wild Animal</t>
  </si>
  <si>
    <t>Loner, Dodge, Side Step, Sprint, Sure Feet</t>
  </si>
  <si>
    <t>Loner, Foul Appearance, Monstrous Mouth, Nurgle's Rot</t>
  </si>
  <si>
    <t>Loner, Block, Mighty Blow, Tackle</t>
  </si>
  <si>
    <t>Loner, Accurate, Nerves of Steel, Pass, Safe Throw, Sure Hands</t>
  </si>
  <si>
    <t>Witch Elf</t>
  </si>
  <si>
    <t>Troll Slayer</t>
  </si>
  <si>
    <t>Deathroller</t>
  </si>
  <si>
    <t>Goblin</t>
  </si>
  <si>
    <t>Bombardier</t>
  </si>
  <si>
    <t>Pogoer</t>
  </si>
  <si>
    <t>Looney</t>
  </si>
  <si>
    <t xml:space="preserve">Fanatic </t>
  </si>
  <si>
    <t xml:space="preserve">Troll </t>
  </si>
  <si>
    <t>Halfling</t>
  </si>
  <si>
    <t>Ogre</t>
  </si>
  <si>
    <t>Thro-Ra</t>
  </si>
  <si>
    <t>Blitz-Ra</t>
  </si>
  <si>
    <t>Tomb Guardian</t>
  </si>
  <si>
    <t>Skink</t>
  </si>
  <si>
    <t>Saurus</t>
  </si>
  <si>
    <t>Kroxigor</t>
  </si>
  <si>
    <t>Flesh Golem</t>
  </si>
  <si>
    <t>Werewolf</t>
  </si>
  <si>
    <t>Ulfwerener</t>
  </si>
  <si>
    <t>Snow Troll</t>
  </si>
  <si>
    <t>Rotter</t>
  </si>
  <si>
    <t>Pestigors</t>
  </si>
  <si>
    <t>Nurgle Warriors</t>
  </si>
  <si>
    <t>Beast of Nurgle</t>
  </si>
  <si>
    <t xml:space="preserve">Ogre </t>
  </si>
  <si>
    <t xml:space="preserve">Goblin </t>
  </si>
  <si>
    <t>Black Orc</t>
  </si>
  <si>
    <t>Troll</t>
  </si>
  <si>
    <t>Skaven Lineman</t>
  </si>
  <si>
    <t>Skaven Thrower</t>
  </si>
  <si>
    <t>Gutter Runner</t>
  </si>
  <si>
    <t>Skaven Blitzer</t>
  </si>
  <si>
    <t>Rat Ogre</t>
  </si>
  <si>
    <t>Thrall</t>
  </si>
  <si>
    <t>Vampire</t>
  </si>
  <si>
    <t>Wardancer</t>
  </si>
  <si>
    <t>Marauder</t>
  </si>
  <si>
    <t>Goblin Renegade</t>
  </si>
  <si>
    <t>Skaven Renegade</t>
  </si>
  <si>
    <t>Orc Renegade</t>
  </si>
  <si>
    <t>Dark Elf Renegade</t>
  </si>
  <si>
    <t>Chaos Troll</t>
  </si>
  <si>
    <t>Chaos Ogre</t>
  </si>
  <si>
    <t>Warpstone Troll</t>
  </si>
  <si>
    <t>Doom Diver</t>
  </si>
  <si>
    <t>Ooligan</t>
  </si>
  <si>
    <t>Block</t>
  </si>
  <si>
    <t>Pass</t>
  </si>
  <si>
    <t>Catch, Nerves of Steel</t>
  </si>
  <si>
    <t>Block, Side Step</t>
  </si>
  <si>
    <t>Bombardier, Dodge, Secret Weapon, Stunty</t>
  </si>
  <si>
    <t>Dodge, Leap, Stunty, Very Long Legs</t>
  </si>
  <si>
    <t>Ball &amp; Chain, No Hands, Secret Weapon, Stunty</t>
  </si>
  <si>
    <t>Loner, Always Hungry, Mighty Blow, Really Stupid, Regeneration, Throw Team-Mate</t>
  </si>
  <si>
    <t>Pass, Safe Throw</t>
  </si>
  <si>
    <t>Catch</t>
  </si>
  <si>
    <t>Regeneration, Thick Skull</t>
  </si>
  <si>
    <t>Loner, Regeneration, Thick Skull</t>
  </si>
  <si>
    <t>Dodge, Stunty</t>
  </si>
  <si>
    <t>Loner, Dodge, Stunty</t>
  </si>
  <si>
    <t>Regeneration</t>
  </si>
  <si>
    <t>Loner, Regeneration</t>
  </si>
  <si>
    <t>Frenzy</t>
  </si>
  <si>
    <t>Loner, Claws, Disturbing Presence, Frenzy, Wild Animal</t>
  </si>
  <si>
    <t>Loner, Block</t>
  </si>
  <si>
    <t>Decay, Nurgle’s Rot</t>
  </si>
  <si>
    <t>Horns, Nurgle’s Rot, Regeneration</t>
  </si>
  <si>
    <t>Dodge, Weeping Dagger</t>
  </si>
  <si>
    <t>Animosity, Dodge, Right Stuff, Stunty</t>
  </si>
  <si>
    <t>Animosity</t>
  </si>
  <si>
    <t>Loner, Bone-head, Mighty Blow, Thick Skull, Throw Team-mate</t>
  </si>
  <si>
    <t>Leap, Very Long Legs</t>
  </si>
  <si>
    <t>Diving Catch, Leap, Very Long Legs</t>
  </si>
  <si>
    <t>Diving Tackle, Jump Up, Leap, Very Long Legs</t>
  </si>
  <si>
    <t>Loner, Leap, Very Long Legs</t>
  </si>
  <si>
    <t>Animosity, Pass, Sure Hands</t>
  </si>
  <si>
    <t>Animosity, Block</t>
  </si>
  <si>
    <t>Right Stuff, Stunty, Swoop</t>
  </si>
  <si>
    <t>Dwarf</t>
  </si>
  <si>
    <t>Treeman</t>
  </si>
  <si>
    <t>Human</t>
  </si>
  <si>
    <t>Skeleton</t>
  </si>
  <si>
    <t>Lizardman</t>
  </si>
  <si>
    <t>Zombie</t>
  </si>
  <si>
    <t>Necromantic</t>
  </si>
  <si>
    <t>Ghoul</t>
  </si>
  <si>
    <t>Wight</t>
  </si>
  <si>
    <t>Norse</t>
  </si>
  <si>
    <t>Berserker</t>
  </si>
  <si>
    <t>Nurgle</t>
  </si>
  <si>
    <t>Orc</t>
  </si>
  <si>
    <t>Skaven</t>
  </si>
  <si>
    <t>Undead</t>
  </si>
  <si>
    <t>Mummy</t>
  </si>
  <si>
    <t>Skeleton Journeyman</t>
  </si>
  <si>
    <t>Zombie Journeyman</t>
  </si>
  <si>
    <t>Slann</t>
  </si>
  <si>
    <t>Underworld</t>
  </si>
  <si>
    <t>Brettonia</t>
  </si>
  <si>
    <t>Fend</t>
  </si>
  <si>
    <t>Yeoman</t>
  </si>
  <si>
    <t>Wrestle</t>
  </si>
  <si>
    <t>Block, Catch, Dauntless</t>
  </si>
  <si>
    <t>Loner, Fend</t>
  </si>
  <si>
    <t>GSPM</t>
  </si>
  <si>
    <t>AM</t>
  </si>
  <si>
    <t>GM</t>
  </si>
  <si>
    <t>GAM</t>
  </si>
  <si>
    <t>GSP</t>
  </si>
  <si>
    <t>Ripper</t>
  </si>
  <si>
    <t>Puggy Baconbreath</t>
  </si>
  <si>
    <t>Hubris Rakarth</t>
  </si>
  <si>
    <t>Ugroth Bolgrot</t>
  </si>
  <si>
    <t>Hack Enslash</t>
  </si>
  <si>
    <t>Hemlock</t>
  </si>
  <si>
    <t>Icepelt Hammerblow</t>
  </si>
  <si>
    <t>Setekh</t>
  </si>
  <si>
    <t>Skitter Stab-Stab</t>
  </si>
  <si>
    <t>Wilhelm Chaney</t>
  </si>
  <si>
    <t>Loner, Break Tackle, Dirty Player, Juggernaut, Mighty Blow, No Hands, Secret Weapon, Stand Firm</t>
  </si>
  <si>
    <t>Sure Hands, Thick Skull</t>
  </si>
  <si>
    <t>Block, Thick Skull</t>
  </si>
  <si>
    <t>Block, Frenzy, Dauntless, Thick Skull</t>
  </si>
  <si>
    <t>Dodge, Frenzy, Jump Up</t>
  </si>
  <si>
    <t>Loner, Block, Tackle, Thick Skull</t>
  </si>
  <si>
    <t>Right Stuff, Dodge, Stunty</t>
  </si>
  <si>
    <t>Loner, Right Stuff, Dodge, Stunty</t>
  </si>
  <si>
    <t>Catch, Dodge,</t>
  </si>
  <si>
    <t>Pass, Sure Hands</t>
  </si>
  <si>
    <t>Block, Pass</t>
  </si>
  <si>
    <t>Block, Dauntless</t>
  </si>
  <si>
    <t>Block, Frenzy, Jump Up</t>
  </si>
  <si>
    <t>Catch, Dodge, Sprint</t>
  </si>
  <si>
    <t>Block, Dodge, Leap</t>
  </si>
  <si>
    <t>Mighty Blow, Stand Firm, Strong Arm, Take Root, Thick Skull, Throw Team-Mate, Timmm-ber!</t>
  </si>
  <si>
    <t>Loner, Bone-head, Mighty Blow, Thick Skull, Throw Team-Mate</t>
  </si>
  <si>
    <t>Pass, Regeneration, Sure Hands</t>
  </si>
  <si>
    <t>Block, Regeneration</t>
  </si>
  <si>
    <t>Decay, Regeneration</t>
  </si>
  <si>
    <t>Loner, Bone-head, Mighty Blow, Prehensile Tail, Thick Skull</t>
  </si>
  <si>
    <t>Regeneration, Stand Firm, Thick Skull</t>
  </si>
  <si>
    <t>Claws, Frenzy, Regeneration</t>
  </si>
  <si>
    <t>Disturbing Presence, Foul Appearance, Nurgle’s Rot, Regeneration</t>
  </si>
  <si>
    <t>Loner, Disturbing Presence, Foul Appearance, Mighty Blow, Nurgle’s Rot, Really Stupid, Regeneration, Tentacles</t>
  </si>
  <si>
    <t>Loner, Decay, Nurgle’s Rot</t>
  </si>
  <si>
    <t>Bone-head, Mighty Blow, Thick Skull, Throw Team-Mate</t>
  </si>
  <si>
    <t>Sure Hands, Pass</t>
  </si>
  <si>
    <t>GAS</t>
  </si>
  <si>
    <t>P</t>
  </si>
  <si>
    <t>Lottabottol</t>
  </si>
  <si>
    <t>Loner, Frenzy, Mighty Blow, Prehensile Tail, Wild Animal</t>
  </si>
  <si>
    <t>Mighty Blow, Regeneration</t>
  </si>
  <si>
    <t>ASPM</t>
  </si>
  <si>
    <t>ASM</t>
  </si>
  <si>
    <t>SPM</t>
  </si>
  <si>
    <t>GPM</t>
  </si>
  <si>
    <t>Glart Smashrip Jr.</t>
  </si>
  <si>
    <t>Blood Lust, Hypnotic Gaze, Regeneration</t>
  </si>
  <si>
    <t>Loner, Mighty Blow, Stand Firm, Strong Arm, Take Root, Thick Skull, Throw Team-Mate</t>
  </si>
  <si>
    <t>Pit Fighter</t>
  </si>
  <si>
    <t>Khorne Herald</t>
  </si>
  <si>
    <t>Bloodletter Deamon</t>
  </si>
  <si>
    <t>Bloodthirster</t>
  </si>
  <si>
    <t>Loner, Frenzy</t>
  </si>
  <si>
    <t>Horns, Juggernaut, Regeneration</t>
  </si>
  <si>
    <t>Frenzy, Horns, Juggernaut</t>
  </si>
  <si>
    <t>Loner, Claws, Frenzy, Horns, Juggernaut, Regeneration, Wild Animal</t>
  </si>
  <si>
    <t>Simyin</t>
  </si>
  <si>
    <t>Bonobo</t>
  </si>
  <si>
    <t>Orangutan</t>
  </si>
  <si>
    <t>Chimpanzee</t>
  </si>
  <si>
    <t>Gorilla</t>
  </si>
  <si>
    <t>Silverback</t>
  </si>
  <si>
    <t>Extra Arms</t>
  </si>
  <si>
    <t>Loner, Extra Arms</t>
  </si>
  <si>
    <t>Extra Arms, Strong Arm</t>
  </si>
  <si>
    <t>Extra Arms, Wrestle</t>
  </si>
  <si>
    <t>Extra Arms, Grab</t>
  </si>
  <si>
    <t>Loner, Extra Arms, Grab, Mighty Blow, Wild Animal</t>
  </si>
  <si>
    <t>Bo Gallanté</t>
  </si>
  <si>
    <t>Glart Smashrip</t>
  </si>
  <si>
    <t>Kreek Rustgouger</t>
  </si>
  <si>
    <t>Loner, Ball &amp; Chain, Mighty Blow, No Hands, Prehensile Tail, Secret Weapon</t>
  </si>
  <si>
    <t>Amazona</t>
  </si>
  <si>
    <t>Bretonia</t>
  </si>
  <si>
    <t>Caos</t>
  </si>
  <si>
    <t>Enano</t>
  </si>
  <si>
    <t>Humano</t>
  </si>
  <si>
    <t>Nigromántico</t>
  </si>
  <si>
    <t>Nórdico</t>
  </si>
  <si>
    <t>Ogro</t>
  </si>
  <si>
    <t>Orco</t>
  </si>
  <si>
    <t>Inframundo</t>
  </si>
  <si>
    <t>Vampiro</t>
  </si>
  <si>
    <t>Línea</t>
  </si>
  <si>
    <t>Lanzador</t>
  </si>
  <si>
    <t>Receptor</t>
  </si>
  <si>
    <t>Eldril Serpientedecascabel</t>
  </si>
  <si>
    <t>Soaren Torrealta</t>
  </si>
  <si>
    <t>Príncipe Moranion</t>
  </si>
  <si>
    <t>Zara la Cazadora</t>
  </si>
  <si>
    <t>Dolfar Pasolargo</t>
  </si>
  <si>
    <t>Lanzadora</t>
  </si>
  <si>
    <t>Receptora</t>
  </si>
  <si>
    <t>Independiente</t>
  </si>
  <si>
    <t>Zombie Independiente</t>
  </si>
  <si>
    <t>Willow Cortezarosa</t>
  </si>
  <si>
    <t>Roxanna Uñasoscuras</t>
  </si>
  <si>
    <t>Bertha Puñogrande</t>
  </si>
  <si>
    <t>Escudero</t>
  </si>
  <si>
    <t>Zug el Poderoso</t>
  </si>
  <si>
    <t>Guerrero del Caos</t>
  </si>
  <si>
    <t>Hombre Bestia</t>
  </si>
  <si>
    <t>Minotauro</t>
  </si>
  <si>
    <t>Max Arrancabazos</t>
  </si>
  <si>
    <t>Lewdgrip Brazodelátigo</t>
  </si>
  <si>
    <t>Lord Borak el Saqueador</t>
  </si>
  <si>
    <t>Grashnak Pezuñanegra</t>
  </si>
  <si>
    <t>Luchador de pozo</t>
  </si>
  <si>
    <t>Demonio Desangrador</t>
  </si>
  <si>
    <t>Heraldo de Khorne</t>
  </si>
  <si>
    <t>Devorador de almas</t>
  </si>
  <si>
    <t>Corredor</t>
  </si>
  <si>
    <t>Asesino</t>
  </si>
  <si>
    <t>Elfa Bruja</t>
  </si>
  <si>
    <t>Horkon Arrancacorazones</t>
  </si>
  <si>
    <t>Jordell Brisafresca</t>
  </si>
  <si>
    <t>Bailarín Guerrero</t>
  </si>
  <si>
    <t>Hombre Árbol</t>
  </si>
  <si>
    <t>Defensa</t>
  </si>
  <si>
    <t>Apisonadora</t>
  </si>
  <si>
    <t>Matatrolls</t>
  </si>
  <si>
    <t>Barik Tirolargo</t>
  </si>
  <si>
    <t>Flint Filotriturador</t>
  </si>
  <si>
    <t>Grim Mandibuladehierro</t>
  </si>
  <si>
    <t>Centauro Toro</t>
  </si>
  <si>
    <t>Zzharg Ojorrabioso</t>
  </si>
  <si>
    <t>Nobbla Verruganegra</t>
  </si>
  <si>
    <t>Rashnak Puñaladaatraición</t>
  </si>
  <si>
    <t>Hthark el Imparable</t>
  </si>
  <si>
    <t>Bombardero</t>
  </si>
  <si>
    <t>Chiflado</t>
  </si>
  <si>
    <t>Fanático</t>
  </si>
  <si>
    <t>Pogo</t>
  </si>
  <si>
    <t>Gamberro</t>
  </si>
  <si>
    <t>Saltador de la Condenación</t>
  </si>
  <si>
    <t>Bomber Regateasnotlings</t>
  </si>
  <si>
    <t>Fungus el Chiflado</t>
  </si>
  <si>
    <t>Scrappa Cabezadolorida</t>
  </si>
  <si>
    <t>Gorroloco Miggz</t>
  </si>
  <si>
    <t>Destripador</t>
  </si>
  <si>
    <t>Puggy Alientodebacon</t>
  </si>
  <si>
    <t>Raizprofunda Ramafuerte</t>
  </si>
  <si>
    <t>Eslizón</t>
  </si>
  <si>
    <t>Saurio</t>
  </si>
  <si>
    <t>Salto Quetzal</t>
  </si>
  <si>
    <t xml:space="preserve">Ogro </t>
  </si>
  <si>
    <t>Línea Skaven</t>
  </si>
  <si>
    <t>Lanzador Skaven</t>
  </si>
  <si>
    <t>Blitzer Skaven</t>
  </si>
  <si>
    <t xml:space="preserve"> Troll de Piedra Bruja</t>
  </si>
  <si>
    <t>Skitter Klava-Klava</t>
  </si>
  <si>
    <t>Glart Aplastarraja Jr.</t>
  </si>
  <si>
    <t>Glart Aplastarraja</t>
  </si>
  <si>
    <t>Esqueleto</t>
  </si>
  <si>
    <t>Esqueleto Independiente</t>
  </si>
  <si>
    <t>Guardián de la Tumba</t>
  </si>
  <si>
    <t>Necrófago</t>
  </si>
  <si>
    <t>Tumulario</t>
  </si>
  <si>
    <t>Golem de Carne</t>
  </si>
  <si>
    <t>Hombre Lobo</t>
  </si>
  <si>
    <t>Conde Luthor von Drakenborg</t>
  </si>
  <si>
    <t>Momia</t>
  </si>
  <si>
    <t>Troll de las Nieves</t>
  </si>
  <si>
    <t>Pieldehielo Golpedemartillo</t>
  </si>
  <si>
    <t>Putrefacto</t>
  </si>
  <si>
    <t>Guerrero de Nurgle</t>
  </si>
  <si>
    <t>Bestia de Nurgle</t>
  </si>
  <si>
    <t>Guffle Faucesdepus</t>
  </si>
  <si>
    <t>Orco Negro</t>
  </si>
  <si>
    <t>Varag Masticamuertos</t>
  </si>
  <si>
    <t>Merodeador</t>
  </si>
  <si>
    <t>Renegado Goblin</t>
  </si>
  <si>
    <t>Renegado Skaven</t>
  </si>
  <si>
    <t>Renegado Orco</t>
  </si>
  <si>
    <t>Renegado Elfo Oscuro</t>
  </si>
  <si>
    <t>Troll del Caos</t>
  </si>
  <si>
    <t>Ogro del Caos</t>
  </si>
  <si>
    <t>Igor el Loco</t>
  </si>
  <si>
    <t>Orangután</t>
  </si>
  <si>
    <t>Chimpancé</t>
  </si>
  <si>
    <t>Gorila</t>
  </si>
  <si>
    <t>Espalda Plateada</t>
  </si>
  <si>
    <t>Corredor de Alcantarillas</t>
  </si>
  <si>
    <t>Rata Ogro</t>
  </si>
  <si>
    <t>Aplastacráneos</t>
  </si>
  <si>
    <t>Siervo</t>
  </si>
  <si>
    <t>Pasar</t>
  </si>
  <si>
    <t>Pasar, Pase Seguro</t>
  </si>
  <si>
    <t>Atrapar</t>
  </si>
  <si>
    <t>Placar</t>
  </si>
  <si>
    <t>Placar, Pasar</t>
  </si>
  <si>
    <t>Solitario</t>
  </si>
  <si>
    <t>Solitario, Placar</t>
  </si>
  <si>
    <t>Esquivar</t>
  </si>
  <si>
    <t>Esquivar, Pasar</t>
  </si>
  <si>
    <t>Esquivar, Atrapar</t>
  </si>
  <si>
    <t>Esquivar, Placar</t>
  </si>
  <si>
    <t>Solitario, Esquivar</t>
  </si>
  <si>
    <t>Atrapar, Esquivar,</t>
  </si>
  <si>
    <t>Placar, Echarse a un Lado</t>
  </si>
  <si>
    <t>Atrapar, Esquivar, Carrera</t>
  </si>
  <si>
    <t>Solitario, Atrapar, Recepción Heroica, Esquivar, Carrera</t>
  </si>
  <si>
    <t>Solitario, Esquivar, Echarse a un Lado, Carrera, Pies Firmes</t>
  </si>
  <si>
    <t>Zafarse</t>
  </si>
  <si>
    <t>Solitario, Zafarse</t>
  </si>
  <si>
    <t>Pasar, Manos Seguras</t>
  </si>
  <si>
    <t>Manos Seguras, Pasar</t>
  </si>
  <si>
    <t>Solitario, Zafarse, Anticiparse, Pasar, Pase Seguro, Manos Seguras, Brazo Fuerte</t>
  </si>
  <si>
    <t>Solitario, Atrapar, Esquivar, Mirada Hipnótica, Nervios de Acero, Bloquear pase</t>
  </si>
  <si>
    <t>Atrapar, Nervios de Acero</t>
  </si>
  <si>
    <t>Placar, Atrapar, Agallas</t>
  </si>
  <si>
    <t>Placar, Agallas</t>
  </si>
  <si>
    <t>Solitario, Placar, Agallas, Placaje Defensivo, Forcejeo</t>
  </si>
  <si>
    <t>Forcejeo</t>
  </si>
  <si>
    <t>Solitario, Placar, Agallas, Esquivar, En Pie de un Salto</t>
  </si>
  <si>
    <t>Solitario, Placar, Agallas, Esquivar, En Pie de un Salto, Puñal, Estacas</t>
  </si>
  <si>
    <t>Solitario, Placar, Golpe Mortífero, Placaje Defensivo</t>
  </si>
  <si>
    <t>Solitario, Placar, Golpe Mortífero</t>
  </si>
  <si>
    <t>Solitario, Precisión, Nervios de Acero, Pasar, Pase Seguro, Manos Seguras</t>
  </si>
  <si>
    <t>Solitario, Agallas, Echarse a un Lado, Cabeza Dura</t>
  </si>
  <si>
    <t>Placar, Placaje Defensivo, Cabeza Dura</t>
  </si>
  <si>
    <t>Manos Seguras, Cabeza Dura</t>
  </si>
  <si>
    <t>Placar, Cabeza Dura</t>
  </si>
  <si>
    <t>Solitario, Placar, Placaje Defensivo, Cabeza Dura</t>
  </si>
  <si>
    <t>Carrera, Pies Firmes, Cabeza Dura</t>
  </si>
  <si>
    <t>Solitario, Placar, En Pie de un Salto, Golpe Mortífero, Cabeza Dura</t>
  </si>
  <si>
    <t>Solitario, Placar, Golpe Mortífero, Cabeza Dura, Lanzar Compañero de Equipo</t>
  </si>
  <si>
    <t>Solitario, Sierra Mecánica, Arma Secreta</t>
  </si>
  <si>
    <t>Solitario, Placar, Sierra Mecánica, Arma Secreta, Cabeza Dura</t>
  </si>
  <si>
    <t>Solitario, Sierra Mecánica, Arma Secreta, Mantenerse Firme</t>
  </si>
  <si>
    <t>Furia</t>
  </si>
  <si>
    <t>Solitario, Furia</t>
  </si>
  <si>
    <t>Esquivar, Furia, En Pie de un Salto</t>
  </si>
  <si>
    <t>Placar, Furia, Agallas, Cabeza Dura</t>
  </si>
  <si>
    <t>Placar, Furia, En Pie de un Salto</t>
  </si>
  <si>
    <t>Solitario, Esquivar, Furia, En Pie de un Salto, Juggernaut, Saltar</t>
  </si>
  <si>
    <t>Solitario, Placar, Esquivar, Saltar, Recepción Heroica, Echarse a un Lado</t>
  </si>
  <si>
    <t>Placar, Esquivar, Saltar</t>
  </si>
  <si>
    <t>Solitario, Cabeza Hueca, Golpe Mortífero, Nervios de Acero, Brazo Fuerte, Cabeza Dura, Lanzar Compañero de Equipo</t>
  </si>
  <si>
    <t>Solitario, Cabeza Hueca, Golpe Mortífero, Cabeza Dura, Lanzar Compañero de Equipo</t>
  </si>
  <si>
    <t>Cabeza Hueca, Golpe Mortífero, Cabeza Dura, Lanzar Compañero de Equipo</t>
  </si>
  <si>
    <t>Solitario, Cabeza Hueca, Abrirse Paso, Esquivar, Golpe Mortífero, Cabeza Dura, Lanzar Compañero de Equipo</t>
  </si>
  <si>
    <t>Solitario, Placar, Abrirse Paso, Juggernaut, Carrera, Pies Firmes, Cabeza Dura</t>
  </si>
  <si>
    <t>Solitario, Placar, Esquivar, Zafarse, Carrera, Pies Firmes</t>
  </si>
  <si>
    <t>Loner, Block, Dodge, Fend, Sprint, Sure Feet</t>
  </si>
  <si>
    <t>Cuernos</t>
  </si>
  <si>
    <t>Solitario, Cuernos</t>
  </si>
  <si>
    <t>Solitario, Furia, Cabeza Dura, Cuernos, Golpe Mortífero</t>
  </si>
  <si>
    <t>Furia, Cuernos, Juggernaut</t>
  </si>
  <si>
    <t>Solitario, Furia, Cuernos, Golpe Mortífero, Cabeza Dura, Animal Salvaje</t>
  </si>
  <si>
    <t>Solitario, Esquivar, Agilidad Felina, Escurridizo</t>
  </si>
  <si>
    <t>Solitario, Placar, Esquivar, Sierra Mecánica, Arma Secreta, Escurridizo</t>
  </si>
  <si>
    <t>Agilidad Felina, Esquivar, Escurridizo</t>
  </si>
  <si>
    <t>Solitario, Agilidad Felina, Esquivar, Escurridizo</t>
  </si>
  <si>
    <t>Solitario, Placar, Esquivar, Nervios de Acero, Agilidad Felina, Escurridizo</t>
  </si>
  <si>
    <t>Esquivar, Escurridizo</t>
  </si>
  <si>
    <t>Solitario, Esquivar, Escurridizo</t>
  </si>
  <si>
    <t>Solitario, Placar, Esquivar, Echarse a un Lado, En Pie de un Salto, Puñal, Escurridizo</t>
  </si>
  <si>
    <t>Solitario, Placar, Golpe Mortífero, Juego Sucio</t>
  </si>
  <si>
    <t>Loner, Block, Mighty Blow, Dirty Player</t>
  </si>
  <si>
    <t>Solitario, Placar, Juego Sucio, En Pie de un Salto, Golpe Mortífero, Robar Balón</t>
  </si>
  <si>
    <t>Cuernos, Juggernaut, Regenerar</t>
  </si>
  <si>
    <t>Regenerar, Cabeza Dura</t>
  </si>
  <si>
    <t>Pasar, Regenerar, Manos Seguras</t>
  </si>
  <si>
    <t>Placar, Regenerar</t>
  </si>
  <si>
    <t>Solitario, Regenerar, Cabeza Dura</t>
  </si>
  <si>
    <t>Solitario, Placar, En Pie de un Salto, Bloquear pase, Regenerar, Arma Secreta, Echarse a un Lado, Puñal</t>
  </si>
  <si>
    <t>Solitario, Sierra Mecánica, Regenerar, Arma Secreta, Echarse a un Lado</t>
  </si>
  <si>
    <t>Solitario, Atrapar, Esquivar, Regenerar, Nervios de Acero</t>
  </si>
  <si>
    <t>Solitario, Placar, Abrirse Paso, Juggernaut, Regenerar, Robar Balón</t>
  </si>
  <si>
    <t>Solitario, Abrirse Paso, Golpe Mortífero, Regenerar, Forcejeo</t>
  </si>
  <si>
    <t>Regenerar</t>
  </si>
  <si>
    <t>Regenerar, Mantenerse Firme, Cabeza Dura</t>
  </si>
  <si>
    <t>Solitario, Regenerar</t>
  </si>
  <si>
    <t>Solitario, Placar, Mirada Hipnótica, Regenerar, Echarse a un Lado</t>
  </si>
  <si>
    <t>Golpe Mortífero, Regenerar</t>
  </si>
  <si>
    <t>Solitario, Agallas, Regenerar, Cabeza Dura</t>
  </si>
  <si>
    <t>Solitario, Garras, Furia, Cuernos, Juggernaut, Regenerar, Animal Salvaje</t>
  </si>
  <si>
    <t>Garras, Furia, Regenerar</t>
  </si>
  <si>
    <t>Solitario, Atrapar, Garras, Furia, Regenerar, Forcejeo</t>
  </si>
  <si>
    <t>Pase Precipitado</t>
  </si>
  <si>
    <t>Perseguir, Puñal</t>
  </si>
  <si>
    <t>Solitario, Precisión, Pase Precipitado, Nervios de Acero, Pasar, Regenerar, Manos Seguras</t>
  </si>
  <si>
    <t>Dump Off</t>
  </si>
  <si>
    <t>Solitario, Golpe Mortífero, Mantenerse Firme, Brazo Fuerte, Echar Raíces, Cabeza Dura, Lanzar Compañero de Equipo</t>
  </si>
  <si>
    <t>Solitario, Abrirse Paso, Juego Sucio, Juggernaut, Golpe Mortífero, Sin Manos, Arma Secreta, Mantenerse Firme</t>
  </si>
  <si>
    <t>Solitario, Recepción Heroica, Pase a lo Loco, Patada, Anticiparse, Bloquear pase</t>
  </si>
  <si>
    <t>Solitario, Pase a lo Loco, Pasar, Arma Secreta, Brazo Fuerte, Manos Seguras, Cabeza Dura</t>
  </si>
  <si>
    <t>Solitario, Precisión, Placar, Bombardero, Arma Secreta, Cabeza Dura</t>
  </si>
  <si>
    <t>Bombardero, Esquivar, Arma Secreta, Escurridizo</t>
  </si>
  <si>
    <t>Solitario, Precisión, Bombardero, Esquivar, Agilidad Felina, Arma Secreta, Escurridizo</t>
  </si>
  <si>
    <t>Solitario, Esquivar, Saltar, Placaje Múltiple, Perseguir, Puñal</t>
  </si>
  <si>
    <t>Solitario, Cabeza Dura, Placar, Placaje Múltiple, Furia, Agallas</t>
  </si>
  <si>
    <t>Solitario, Pase a lo Loco, Pasar, Arma Secreta, Brazo Fuerte, Manos Seguras, Placaje Defensivo, Cabeza Dura</t>
  </si>
  <si>
    <t>Loner, Hail Mary Pass, Pass, Secret Weapon, Strong Arm, Sure Hands, Tackle, Thick Skull</t>
  </si>
  <si>
    <t>Solitario, Esquivar, Echarse a un Lado, Rastrero, Puñal</t>
  </si>
  <si>
    <t>Solitario, Garras, Presencia Perturbadora, Furia, Animal Salvaje</t>
  </si>
  <si>
    <t>Solitario, Garras, Presencia Perturbadora, Furia, Regenerar, Cabeza Dura</t>
  </si>
  <si>
    <t>Presencia Perturbadora, Esquivar, Favorito del Público, Agilidad Felina, Escurridizo</t>
  </si>
  <si>
    <t>Disturbing Presence, Dodge, Fan Favourite, Right Stuff, Stunty</t>
  </si>
  <si>
    <t>Esquivar, Saltar, Escurridizo, Piernas Muy Largas</t>
  </si>
  <si>
    <t>Solitario, Abrirse Paso, Garras, Saltar, Sin Manos, Piernas Muy Largas, Animal Salvaje</t>
  </si>
  <si>
    <t>Solitario, Atrapar, Placaje Heroico, En Pie de un Salto, Saltar, Bloquear pase, Perseguir, Piernas Muy Largas</t>
  </si>
  <si>
    <t>Solitario, Atrapar, Recepción Heroica, Zafarse, Anticiparse, Saltar, Nervios de Acero, Piernas Muy Largas</t>
  </si>
  <si>
    <t>Saltar, Piernas Muy Largas</t>
  </si>
  <si>
    <t>Recepción Heroica, Saltar, Piernas Muy Largas</t>
  </si>
  <si>
    <t>Placaje Heroico, En Pie de un Salto, Saltar, Piernas Muy Largas</t>
  </si>
  <si>
    <t>Solitario, Saltar, Piernas Muy Largas</t>
  </si>
  <si>
    <t>Bola con Cadena, Sin Manos, Arma Secreta, Escurridizo</t>
  </si>
  <si>
    <t>Solitario, Bola con Cadena, Golpe Mortífero, Sin Manos, Arma Secreta, Escurridizo</t>
  </si>
  <si>
    <t>Solitario, Siempre Hambriento, Golpe Mortífero, Realmente Estúpido, Regenerar, Lanzar Compañero de Equipo</t>
  </si>
  <si>
    <t>Golpe Mortífero, Mantenerse Firme, Brazo Fuerte, Echar Raíces, Cabeza Dura, Lanzar Compañero de Equipo, ¡Árbol va!</t>
  </si>
  <si>
    <t>Solitario, Cabeza Hueca, Golpe Mortífero, Cola Prensil, Cabeza Dura</t>
  </si>
  <si>
    <t>Solitario, Bola con Cadena, Golpe Mortífero, Sin Manos, Cola Prensil, Arma Secreta</t>
  </si>
  <si>
    <t>Solitario, Esquivar, Cola Prensil, Perseguir, Puñal</t>
  </si>
  <si>
    <t>Solitario, Furia, Golpe Mortífero, Cola Prensil, Animal Salvaje</t>
  </si>
  <si>
    <t>Solitario, Golpe Mortífero, Cola Prensil</t>
  </si>
  <si>
    <t>Solitario, Apartar, Golpe Mortífero, Lanzar Compañero de Equipo, Regenerar</t>
  </si>
  <si>
    <t>Solitario, Placar, Apartar, Defensa, Mantenerse Firme</t>
  </si>
  <si>
    <t>Animosidad</t>
  </si>
  <si>
    <t>Animosidad, Pasar, Manos Seguras</t>
  </si>
  <si>
    <t>Animosidad, Placar</t>
  </si>
  <si>
    <t>Animosidad, Esquivar, Agilidad Felina, Escurridizo</t>
  </si>
  <si>
    <t>Solitario, Placar, Garras, Apartar, Juggernaut, Mantenerse Firme</t>
  </si>
  <si>
    <t>Loner, Block, Claws, Grab, Juggernaut, Stand Firm</t>
  </si>
  <si>
    <t>Degeneración, Regenerar</t>
  </si>
  <si>
    <t>Degeneración, Putrefacción de Nurgle</t>
  </si>
  <si>
    <t>Cuernos, Putrefacción de Nurgle, Regenerar</t>
  </si>
  <si>
    <t>Solitario, Degeneración, Putrefacción de Nurgle</t>
  </si>
  <si>
    <t>Solitario, Bola con Cadena, Presencia Perturbadora, Apariencia Asquerosa, Sin Manos, Arma Secreta</t>
  </si>
  <si>
    <t>Presencia Perturbadora, Apariencia Asquerosa, Putrefacción de Nurgle, Regenerar</t>
  </si>
  <si>
    <t>Solitario, Presencia Perturbadora, Apariencia Asquerosa, Golpe Mortífero, Putrefacción de Nurgle, Realmente Estúpido, Regenerar, Tentáculos</t>
  </si>
  <si>
    <t>Solitario, Apariencia Asquerosa, Boca Monstruosa, Putrefacción de Nurgle</t>
  </si>
  <si>
    <t>Loner, Dirty Player, Dodge, Leap, Right Stuff, Very Long Legs, Sprint, Stunty, Sure Feet</t>
  </si>
  <si>
    <t>Solitario, Juego Sucio, Esquivar, Saltar, Agilidad Felina, Piernas Muy Largas, Carrera, Escurridizo, Pies Firmes</t>
  </si>
  <si>
    <t>Brazos Adicionales</t>
  </si>
  <si>
    <t>Brazos Adicionales, Brazo Fuerte</t>
  </si>
  <si>
    <t>Brazos Adicionales, Forcejeo</t>
  </si>
  <si>
    <t>Brazos Adicionales, Apartar</t>
  </si>
  <si>
    <t>Solitario, Brazos Adicionales, Apartar, Golpe Mortífero, Animal Salvaje</t>
  </si>
  <si>
    <t>Solitario, Brazos Adicionales</t>
  </si>
  <si>
    <t>Esquivar, Daga Supurante</t>
  </si>
  <si>
    <t>Solitario, Esquivar, Cola Prensil, Brazos Adicionales, Dos Cabezas</t>
  </si>
  <si>
    <t>Sed de Sangre, Mirada Hipnótica, Regenerar</t>
  </si>
  <si>
    <t>Sierra Mecánica, Arma Secreta, Escurridizo</t>
  </si>
  <si>
    <t>Chainsaw, Secret Weapon, Stunty</t>
  </si>
  <si>
    <t>Agilidad Felina, Escurridizo, Bajar en Picado</t>
  </si>
  <si>
    <t>FP</t>
  </si>
  <si>
    <t>F</t>
  </si>
  <si>
    <t>AFP</t>
  </si>
  <si>
    <t>AF</t>
  </si>
  <si>
    <t>GF</t>
  </si>
  <si>
    <t>GFM</t>
  </si>
  <si>
    <t>FM</t>
  </si>
  <si>
    <t>GAF</t>
  </si>
  <si>
    <t>GFP</t>
  </si>
  <si>
    <t>GFPM</t>
  </si>
  <si>
    <t>AFPM</t>
  </si>
  <si>
    <t>AFM</t>
  </si>
  <si>
    <t>FPM</t>
  </si>
  <si>
    <t xml:space="preserve"> </t>
  </si>
  <si>
    <t>NECROMANCER</t>
  </si>
  <si>
    <t>MÉDICO</t>
  </si>
  <si>
    <t>NIGROMANTE</t>
  </si>
  <si>
    <t>MASTER CHEF</t>
  </si>
  <si>
    <t>WIZARD</t>
  </si>
  <si>
    <t>Wizards</t>
  </si>
  <si>
    <t>HECHICERO</t>
  </si>
  <si>
    <t>(In)famous coach staff</t>
  </si>
  <si>
    <t>KARI COLDSTEEL</t>
  </si>
  <si>
    <t>FINK DA FIXER</t>
  </si>
  <si>
    <t>GALANDRIL SILVERWATER</t>
  </si>
  <si>
    <t>PAPA SKULLBONES</t>
  </si>
  <si>
    <t>(IN)FAMOUS STAFF</t>
  </si>
  <si>
    <t>Chaos Dwarf</t>
  </si>
  <si>
    <t>Daemons of Khorne</t>
  </si>
  <si>
    <t>Dark Elf</t>
  </si>
  <si>
    <t>High Elf</t>
  </si>
  <si>
    <t>Wood Elf</t>
  </si>
  <si>
    <t>Alto Elfo</t>
  </si>
  <si>
    <t>Demonios de Khorne</t>
  </si>
  <si>
    <t>Elfo Oscuro</t>
  </si>
  <si>
    <t>Elfo Pro</t>
  </si>
  <si>
    <t>Elfo Silvano</t>
  </si>
  <si>
    <t>Enano del Caos</t>
  </si>
  <si>
    <t xml:space="preserve">Halfling </t>
  </si>
  <si>
    <t>Hombre Lagarto</t>
  </si>
  <si>
    <t xml:space="preserve">Khemri </t>
  </si>
  <si>
    <t>No Muerto</t>
  </si>
  <si>
    <t xml:space="preserve">Nurgle </t>
  </si>
  <si>
    <t>Pacto del Caos</t>
  </si>
  <si>
    <t xml:space="preserve">Simyin </t>
  </si>
  <si>
    <t xml:space="preserve">Skaven </t>
  </si>
  <si>
    <t xml:space="preserve">Slann </t>
  </si>
  <si>
    <t>LANZAHECHIZOS</t>
  </si>
  <si>
    <t>SPELLCASTER</t>
  </si>
  <si>
    <t>TDs</t>
  </si>
  <si>
    <t>KARI ARMABLANCA</t>
  </si>
  <si>
    <t>PERSONAL INFAME</t>
  </si>
  <si>
    <t>FINK EL ARREGLADOR</t>
  </si>
  <si>
    <t>GALANDRIL AGUAPLATEADA</t>
  </si>
  <si>
    <t>PAPA HUESOSDECRÁNEO</t>
  </si>
  <si>
    <t>KROT SHOCKWHISKER</t>
  </si>
  <si>
    <t>KROT BIGOTESDECHOQUE</t>
  </si>
  <si>
    <t>Bilerot Vomiflesh</t>
  </si>
  <si>
    <t>Loner, Dirty Player, Disturbing Presence, Foul Appearance</t>
  </si>
  <si>
    <t>Frank N Stein</t>
  </si>
  <si>
    <t>Loner, Break Tackle, Mighty Blow, Regeneration, Stand Firm, Thick Skull</t>
  </si>
  <si>
    <t>Rasta Tailspike</t>
  </si>
  <si>
    <t>Loner, Catch, Extra Arms</t>
  </si>
  <si>
    <t>Rasta Colapincho</t>
  </si>
  <si>
    <t>Hakflem Escabullebarrotes</t>
  </si>
  <si>
    <t>Bilerot Carnedevómito</t>
  </si>
  <si>
    <t>Loner, Block, Claws, Juggernaut</t>
  </si>
  <si>
    <t>Solitario, Placar, Garras, Juggernaut</t>
  </si>
  <si>
    <t>Loner, Dodge, Pass, Strong Arm, Sure Hands, Tentacles</t>
  </si>
  <si>
    <t>Withergrasp Doubledrool</t>
  </si>
  <si>
    <t>Loner, Prehensile Tail, Tackle, Tentacles, Two Heads, Wrestle</t>
  </si>
  <si>
    <t>Scyla Anfingrimm</t>
  </si>
  <si>
    <t>Loner, Claws, Frenzy, Prehensile Tail, Thick Skull, Wild Animal</t>
  </si>
  <si>
    <t>Gobbler Grimlich</t>
  </si>
  <si>
    <t>Loner, Big Hand, Disturbing Presence, Leap, Monstrous Mouth, Regeneration, Tentacles, Very Long Legs</t>
  </si>
  <si>
    <t>Solitario, Esquivar, Pasar, Brazo Fuerte, Manos Seguras, Tentáculos</t>
  </si>
  <si>
    <t>Apretónmarchito Doblebaba</t>
  </si>
  <si>
    <t>Solitario, Cola Prénsil, Placaje Defensivo, Tentáculos, Dos Cabezas, Forcejeo</t>
  </si>
  <si>
    <t>Solitario, Juego Sucio, Presencia Perturbadora, Apariencia Asquerosa</t>
  </si>
  <si>
    <t>Solitario, Mano Grande, Presencia Perturbadora, Saltar, Boca Monstruosa, Regenerar, Tentáculos, Piernas Muy Largas</t>
  </si>
  <si>
    <t>Solitario, Garras, Furia, Cola Prénsil, Cabeza Dura, Animal Salvaje</t>
  </si>
  <si>
    <t>Nombre de equipo</t>
  </si>
  <si>
    <t>Nombre de entrenador</t>
  </si>
  <si>
    <t>Nombre de liga/ torneo</t>
  </si>
  <si>
    <t>HORATIO X. SCHOTTENHEIM</t>
  </si>
  <si>
    <t>CHAOS SORCERER</t>
  </si>
  <si>
    <t>HECHICERO DEL CAOS</t>
  </si>
  <si>
    <t>Asperon Thorn</t>
  </si>
  <si>
    <t>Loner, Hail Mary Pass, Kick-off Return, Pass, Safe Throw, Sure Hands</t>
  </si>
  <si>
    <t>Elijah Doom</t>
  </si>
  <si>
    <t>Loner, Fend, Guard, Stand Firm, Wrestle</t>
  </si>
  <si>
    <t>Kiroth Krakeneye</t>
  </si>
  <si>
    <t>Loner, Disturbing Presence, Foul Appearance, Pass Block, Tackle, Tentacles</t>
  </si>
  <si>
    <t>Mordrix Hex</t>
  </si>
  <si>
    <t>Loner, Block, Dauntless, Dodge, Fend, Frenzy, Mighty Blow</t>
  </si>
  <si>
    <t>Loner, Block, Dodge, Diving Catch, Dump-off, Kick-off Return, Nerves of Steel, Pass, Side Step</t>
  </si>
  <si>
    <t>Solitario, Pase a lo Loco, Anticiparse, Pasar, Pase Seguro, Manos Seguras</t>
  </si>
  <si>
    <t>Solitario, Presencia Perturbadora, Apariencia Asquerosa, Bloquear Pase, Placaje Defensivo, Tentáculos</t>
  </si>
  <si>
    <t>Solitario, Zafarse, Defensa, Mantenerse Firme, Forcejeo</t>
  </si>
  <si>
    <t>Solitario, Placar, Agallas, Esquivar, Zafarse, Furia, Golpe Mortífero</t>
  </si>
  <si>
    <t>Solitario, Placar, Esquivar, Recepción Heróica, Pase Precipitado, Anticiparse, Nervios de Acero, Pasar, Echarse a un Lado</t>
  </si>
  <si>
    <t>Kiroth Ojodekraken</t>
  </si>
  <si>
    <t>Espinón Áspero</t>
  </si>
  <si>
    <t>Elijah Condenación</t>
  </si>
  <si>
    <t>Mordrix Maleficio</t>
  </si>
  <si>
    <t>DRUCHII SPORTS SORCERESS</t>
  </si>
  <si>
    <t>HECHICERA ELFA OSCURA</t>
  </si>
  <si>
    <t>HORTICULTURALIST OF NURGLE</t>
  </si>
  <si>
    <t>HORTICULTOR DE NURGLE</t>
  </si>
  <si>
    <t>Bulla Shardhorn</t>
  </si>
  <si>
    <t>Loner, Block, Extra Arms, Foul Appearance, Horns, Nurgle’s Rot, Regeneration, Stab, Two Heads</t>
  </si>
  <si>
    <t>Tolly Glocklinger</t>
  </si>
  <si>
    <t>Loner, Ball &amp; Chain, Disturbing Presence, Foul Appearance, No Hands, Nurgle's Rot, Secret Weapon, Stand Firm</t>
  </si>
  <si>
    <t>Bulla Cuernocasco</t>
  </si>
  <si>
    <t>Solitario, Placar, Brazos Adicionales, Apariencia Asquerosa, Cuernos, Putrefacción de Nurgle, Regenerar, Puñal, Dos Cabezas</t>
  </si>
  <si>
    <t>Solitario, Bola y Cadena, Presencia Perturbadora, Apariencia Asquerosa, Sin Manos, Putrefacción de Nurgle, Arma Secreta, Mantenerse Firme</t>
  </si>
  <si>
    <t>Ivan 'The Animal' Deathshroud</t>
  </si>
  <si>
    <t>Loner, Block, Disturbing Presence, Juggernaut, Regeneration, Strip Ball, Tackle</t>
  </si>
  <si>
    <t>Bryce 'The Slice' Cambuel</t>
  </si>
  <si>
    <t>Loner, Chainsaw, Regeneration, Secret Weapon, Stand Firm, Thick Skull</t>
  </si>
  <si>
    <t>Loner, Dirty Player, Regeneration, Sneaky Git</t>
  </si>
  <si>
    <t>Skrull Halfheight</t>
  </si>
  <si>
    <t>Loner, Accurate, Nerves of Steel, Pass, Regeneration, Sure Hands, Thick Skull</t>
  </si>
  <si>
    <t>Throttlesnot 'The Impaler'</t>
  </si>
  <si>
    <t>Loner, Dirty Player, Dodge, Leap, Regeneration, Secret Weapon, Stab, Stunty</t>
  </si>
  <si>
    <t>G'Ral Blodschüker</t>
  </si>
  <si>
    <t>Loner, Catch, Dodge, Sure Feet, Wrestle</t>
  </si>
  <si>
    <t>Solitario, Abrirse Paso, Golpe Mortífero, Regenerar, Mantenerse Firme, Cabeza Dura</t>
  </si>
  <si>
    <t>Mocoacelerador 'El empalador'</t>
  </si>
  <si>
    <t>'Rotten' Rick Bupkeis</t>
  </si>
  <si>
    <t>'Podrido' Rick Bupkeis</t>
  </si>
  <si>
    <t>Bryce 'La rebanada' Cambuel</t>
  </si>
  <si>
    <t>G'Ral Sanguijuela</t>
  </si>
  <si>
    <t>Skrull Medialtura</t>
  </si>
  <si>
    <t>Ivan 'El animal' Mortajamuerte</t>
  </si>
  <si>
    <t>Solitario, Juego Sucio, Regenerar, Rastrero</t>
  </si>
  <si>
    <t>Solitario, Juego Sucio, Esquivar, Saltar, Regenerar, Arma Secreta, Puñal, Escurridizo</t>
  </si>
  <si>
    <t>Solitario, Sierra Mecánica, Regenerar, Arma Secreta, Mantenerse Firme, Cabeza Dura</t>
  </si>
  <si>
    <t>Solitario, Atrapar, Esquivar, Pies Firmes, Forcejeo</t>
  </si>
  <si>
    <t>Solitario, Precisión, Nervios de Acero, Pasar, Regenerar, Manos Seguras, Cabeza Dura</t>
  </si>
  <si>
    <t>Solitario, Placar, Presencia Perturbadora, Juggernaut, Regenerar, Robar Balón, Placaje Defensivo</t>
  </si>
  <si>
    <t>Solitario, Atrapar, Brazos Adicionales</t>
  </si>
  <si>
    <t>NECROTEÚRGO DEPORTIVO</t>
  </si>
  <si>
    <t>NECROTHEURG SPORTS MAGE</t>
  </si>
  <si>
    <t>Gretchen Wächter 'The BB widow'</t>
  </si>
  <si>
    <t>Loner, Disturbing Presence, Dodge, Foul Appearance, Jump Up, No Hands, Renegeration, Shadowing, Side Step</t>
  </si>
  <si>
    <t>Gretchen Wächter 'La viuda BB'</t>
  </si>
  <si>
    <t>Solitario, Apariencia Asquerosa, Echarse a un Lado, En pie de un salto, Esquivar, Perseguir, Presencia Perturbadora, Regenerar, Sin Manos</t>
  </si>
  <si>
    <t>Loner, Block, Mighty Blow, Stand Firm, Strong Arm, Thick Skull, Throw Team-Mate, Timmm-ber!</t>
  </si>
  <si>
    <t>Solitario, Placar, Golpe Mortífero, Mantenerse Firme, Brazo Fuerte, Cabeza Dura, Lanzar Compañero de Equipo, ¡Árbol va!</t>
  </si>
  <si>
    <t>Neddley Verrüca</t>
  </si>
  <si>
    <t>Cindy Piewhistle</t>
  </si>
  <si>
    <t>Rumbelow Sheepskin</t>
  </si>
  <si>
    <t>Big Jobo Hairyfoot</t>
  </si>
  <si>
    <t>Dodge, Right Stuff, Stunty</t>
  </si>
  <si>
    <t>Loner, Dodge, Leap, Secret Weapon, Stab, Stunty, Very Long Legs</t>
  </si>
  <si>
    <t>Loner, Accurate, Bombardier, Dodge, Secret Weapon, Stunty</t>
  </si>
  <si>
    <t>Loner, Block, Horns, Juggernaut, No Hands, Tackle, Thick Skull</t>
  </si>
  <si>
    <t>Loner, Dirty Player, Stand Firm, Stunty, Tackle, Wrestle</t>
  </si>
  <si>
    <t>Loner, Catch, Disturbing Presence, Dodge, Fend, Jump Up, Regeneration, Right Stuff, Side Step, Stunty</t>
  </si>
  <si>
    <t>Neddley Verruga</t>
  </si>
  <si>
    <t>Cindy Silbatartas</t>
  </si>
  <si>
    <t>Ronabajo Pieldeoveja</t>
  </si>
  <si>
    <t>Granvago Piepeludo</t>
  </si>
  <si>
    <t>Solitario, Esquivar, Saltar, Arma Secreta, Puñal, Escurridizo, Piernas Muy Largas</t>
  </si>
  <si>
    <t>Solitario, Precisión, Bombardero, Esquivar, Arma Secreta, Escurridizo</t>
  </si>
  <si>
    <t>Solitario, Placar, Cuernos, Juggernaut, Sin Manos, Placaje Defensivo, Cabeza Dura</t>
  </si>
  <si>
    <t>Solitario, Juego Sucio, Mantenerse Firme, Escurridizo, Placaje Defensivo, Forcejeo</t>
  </si>
  <si>
    <t>Solitario, Atrapar, Presencia Perturbadora, Esquivar, Zafarse, En Pie de un Salto, Regenerar, Agilidad Felina, Echarse a un Lado, Escurridizo</t>
  </si>
  <si>
    <t>Catch, Dodge, Right Stuff, Sprint, Stunty</t>
  </si>
  <si>
    <t>Dodge, Fend, Stunty</t>
  </si>
  <si>
    <t>Halfling Receptor</t>
  </si>
  <si>
    <t>Halfling Robusto</t>
  </si>
  <si>
    <t>Halfling Catcher</t>
  </si>
  <si>
    <t>Halfling Hefty</t>
  </si>
  <si>
    <t>Agilidad Felina, Atrapar, Carrera, Esquivar, Escurridizo</t>
  </si>
  <si>
    <t>Esquivar, Zafarse, Escurridizo</t>
  </si>
  <si>
    <t>Additional inducement 1</t>
  </si>
  <si>
    <t>Additional inducement 2</t>
  </si>
  <si>
    <t>CAVORTING NURGLINGS</t>
  </si>
  <si>
    <t>HALFLING HOT-POT</t>
  </si>
  <si>
    <t>PLAGUE DOCTOR</t>
  </si>
  <si>
    <t>IGOR</t>
  </si>
  <si>
    <t>OLLA CALIENTE HALFLING</t>
  </si>
  <si>
    <t>DOCTOR PLAGA</t>
  </si>
  <si>
    <t>HEADY BREW</t>
  </si>
  <si>
    <t>NURGLETES</t>
  </si>
  <si>
    <t>CERVEZA EMBRIAGADORA</t>
  </si>
  <si>
    <t>Gloriel Summerbloom</t>
  </si>
  <si>
    <t>Loner, Accurate, Dodge, Pass, Side Step, Sure Hands</t>
  </si>
  <si>
    <t>Gloriel Flordeverano</t>
  </si>
  <si>
    <t>Solitario, Precisión, Esquivar, Pasar, Echarse a un Lado, Manos Seguras</t>
  </si>
  <si>
    <t>Swiftvine Glimmershard</t>
  </si>
  <si>
    <t>Loner, Disturbing Presence, Fend, Side Step, Stab, Stunty</t>
  </si>
  <si>
    <t>Solitario, Presencia Perturbadora, Zafarse, Echarse a un Lado, Puñal, Escurridizo</t>
  </si>
  <si>
    <t>Vidveloz Fragmentobrillo</t>
  </si>
  <si>
    <t>Maple Highgrove</t>
  </si>
  <si>
    <t>Loner, Grab, Mighty Blow, Stand Firm, Tentacles, Thick Skull</t>
  </si>
  <si>
    <t>Arce Arboledalta</t>
  </si>
  <si>
    <t>Solitario, Apartar, Golpe Mortífero, Mantenerse Firme, Tentáculos, Cabeza Dura</t>
  </si>
  <si>
    <t>Zolcath the Zoat</t>
  </si>
  <si>
    <t>Loner, Disturbing Presence, Juggernaut, Mighty Blow, Prehensile Tail, Regeneration, Sure Feet</t>
  </si>
  <si>
    <t>Zolcath el Zoat</t>
  </si>
  <si>
    <t>Solitario, Presencia Perturbadora, Juggernaut, Golpe Mortífero, Cola Prensil, Regenerar, Pies Firmes</t>
  </si>
  <si>
    <t>Loner, Dodge, Frenzy, Jump Up, Leap, Wrestle</t>
  </si>
  <si>
    <t>Curnoth Darkwold</t>
  </si>
  <si>
    <t>Solitario, Esquivar, Furia, En Pie de un Salto, Saltar, Forcejeo</t>
  </si>
  <si>
    <t>Los Gemelos Veloces: Lucien</t>
  </si>
  <si>
    <t>Los Gemelos Veloces: Valen</t>
  </si>
  <si>
    <t>Chameleon Skink</t>
  </si>
  <si>
    <t>Dode, Pass Block, Shadowing, Stunty</t>
  </si>
  <si>
    <t>Anqi Panqi</t>
  </si>
  <si>
    <t>Loner, Block, Grab, Stand Firm</t>
  </si>
  <si>
    <t>Dribl</t>
  </si>
  <si>
    <t>Loner, Dodge, Side Step, Stab, Stunty</t>
  </si>
  <si>
    <t>Loner, Dirty Player, Dodge, Side Step, Sneaky Git, Stunty</t>
  </si>
  <si>
    <t>Glotl Stop</t>
  </si>
  <si>
    <t>Loner, Frenzy, Mighty Blow, Piling On, Prehensile Tail, Thick Skull, Wild Animal</t>
  </si>
  <si>
    <t>Camaleón eslizón</t>
  </si>
  <si>
    <t>Esquivar, Escurridizo, Bloquear Pase, Perseguir</t>
  </si>
  <si>
    <t>Solitario, Furia, Golpe Mortífero, Aplastar, Cola prénsil, Cabeza Dura, Animal Salvaje</t>
  </si>
  <si>
    <t>Solitario, Esquivar, Echarse a un Lado, Puñal, Escurridizo</t>
  </si>
  <si>
    <t>Solitario, Juego Sucio, Esquivar, Echarse a un Lado, Rastrero, Escurridizo</t>
  </si>
  <si>
    <t>Solitario, Placar, Apartar, Mantenerse Firme</t>
  </si>
  <si>
    <t>Drull</t>
  </si>
  <si>
    <t>Disposable, Dodge, Right Stuff, Side Step, Stunty, Titchy</t>
  </si>
  <si>
    <t>Runt Punter</t>
  </si>
  <si>
    <t>Bone-head, Kick Team-Mate, Mighty Blow, Thick Skull</t>
  </si>
  <si>
    <t>Cabeza Hueca, Patear Compañero de Equipo, Golpe Mortífero, Cabeza Dura</t>
  </si>
  <si>
    <t>Ogro Pateador</t>
  </si>
  <si>
    <t>Loner, Block, Break Tackle, Juggernaut, Mighty Blow, Multiple Block</t>
  </si>
  <si>
    <t>Solitario, Placar, Abrirse Paso, Juggernaut, Golpe Mortífero, Placaje Múltiple</t>
  </si>
  <si>
    <t>Desechable, Esquivar, Agilidad Felina, Echarse a un Lado, Escurridizo, Canijo</t>
  </si>
  <si>
    <t>Bob Bifford (Golden Era)</t>
  </si>
  <si>
    <t>Jeremiah Kool (Golden Era)</t>
  </si>
  <si>
    <t>Captain Colander (Golden Era)</t>
  </si>
  <si>
    <t>Capitán Colador (Golden Era)</t>
  </si>
  <si>
    <t>FIREBELLY WIZARD</t>
  </si>
  <si>
    <t>HECHICERO PANZAFUEGO</t>
  </si>
  <si>
    <t>Additional inducement 3</t>
  </si>
  <si>
    <t>RIOTOUS ROOKIES</t>
  </si>
  <si>
    <t>NOVATOS ALBOROTADORES</t>
  </si>
  <si>
    <t>Max</t>
  </si>
  <si>
    <t>Slave Giant</t>
  </si>
  <si>
    <t>Loner, Always Hungry, Bone-Head, Juggernaut, Mighty Blow, Multiple Block, Sporting Giant, Stand Firm, Throw Team-Mate</t>
  </si>
  <si>
    <t>Gigante Esclavo</t>
  </si>
  <si>
    <t>Solitario, Siempre Hambriento, Cabeza Hueca, Juggernaut, Golpe Mortífero, Placaje Múltiple, Gigante Deportivo, Mantenerse Firme, Lanzar Compañero de Equipo</t>
  </si>
  <si>
    <t>Loner, Disposable, Dodge, Right Stuff, Side Step, Stunty, Titchy</t>
  </si>
  <si>
    <t>Solitario, Desechable, Esquivar, Agilidad Felina, Echarse a un Lado, Escurridizo, Canijo</t>
  </si>
  <si>
    <t>Gnoblar</t>
  </si>
  <si>
    <t>Chaos Chosen</t>
  </si>
  <si>
    <t>Chaos Renegades</t>
  </si>
  <si>
    <t>Elven Union</t>
  </si>
  <si>
    <t>Tomb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</si>
</sst>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#,##0\ [$€-1];\-#,##0\ [$€-1]"/>
    <numFmt numFmtId="166" formatCode="#,##0\ [$€-1];[Red]\-#,##0\ [$€-1]"/>
    <numFmt numFmtId="167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sz val="8"/>
      <name val="Comic Sans MS"/>
      <family val="4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3" applyFont="1" applyFill="1" applyBorder="1" applyAlignment="1" applyProtection="1">
      <alignment horizontal="center" vertical="center"/>
    </xf>
    <xf numFmtId="0" fontId="5" fillId="4" borderId="14" xfId="3" applyFont="1" applyFill="1" applyBorder="1" applyAlignment="1" applyProtection="1">
      <alignment horizontal="center" vertical="center"/>
    </xf>
    <xf numFmtId="0" fontId="5" fillId="4" borderId="15" xfId="3" applyFont="1" applyFill="1" applyBorder="1" applyAlignment="1" applyProtection="1">
      <alignment horizontal="center" vertical="center"/>
    </xf>
    <xf numFmtId="0" fontId="5" fillId="0" borderId="15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4" borderId="17" xfId="3" applyFont="1" applyFill="1" applyBorder="1" applyAlignment="1" applyProtection="1">
      <alignment horizontal="center" vertical="center"/>
    </xf>
    <xf numFmtId="0" fontId="5" fillId="4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18" xfId="3" applyFont="1" applyFill="1" applyBorder="1" applyAlignment="1" applyProtection="1">
      <alignment horizontal="center" vertical="center"/>
    </xf>
    <xf numFmtId="0" fontId="5" fillId="5" borderId="17" xfId="3" applyFont="1" applyFill="1" applyBorder="1" applyAlignment="1" applyProtection="1">
      <alignment horizontal="center" vertical="center"/>
    </xf>
    <xf numFmtId="0" fontId="5" fillId="5" borderId="2" xfId="3" applyFont="1" applyFill="1" applyBorder="1" applyAlignment="1" applyProtection="1">
      <alignment horizontal="center" vertical="center"/>
    </xf>
    <xf numFmtId="0" fontId="5" fillId="6" borderId="17" xfId="3" applyFont="1" applyFill="1" applyBorder="1" applyAlignment="1" applyProtection="1">
      <alignment horizontal="center" vertical="center"/>
    </xf>
    <xf numFmtId="0" fontId="5" fillId="6" borderId="2" xfId="3" applyFont="1" applyFill="1" applyBorder="1" applyAlignment="1" applyProtection="1">
      <alignment horizontal="center" vertical="center"/>
    </xf>
    <xf numFmtId="0" fontId="5" fillId="7" borderId="17" xfId="3" applyFont="1" applyFill="1" applyBorder="1" applyAlignment="1" applyProtection="1">
      <alignment horizontal="center" vertical="center"/>
    </xf>
    <xf numFmtId="0" fontId="5" fillId="7" borderId="2" xfId="3" applyFont="1" applyFill="1" applyBorder="1" applyAlignment="1" applyProtection="1">
      <alignment horizontal="center" vertical="center"/>
    </xf>
    <xf numFmtId="0" fontId="5" fillId="4" borderId="18" xfId="3" applyFont="1" applyFill="1" applyBorder="1" applyAlignment="1" applyProtection="1">
      <alignment horizontal="center" vertical="center"/>
    </xf>
    <xf numFmtId="0" fontId="5" fillId="7" borderId="20" xfId="3" applyFont="1" applyFill="1" applyBorder="1" applyAlignment="1" applyProtection="1">
      <alignment horizontal="center" vertical="center"/>
    </xf>
    <xf numFmtId="0" fontId="5" fillId="6" borderId="20" xfId="3" applyFont="1" applyFill="1" applyBorder="1" applyAlignment="1" applyProtection="1">
      <alignment horizontal="center" vertical="center"/>
    </xf>
    <xf numFmtId="0" fontId="5" fillId="5" borderId="20" xfId="3" applyFont="1" applyFill="1" applyBorder="1" applyAlignment="1" applyProtection="1">
      <alignment horizontal="center" vertical="center"/>
    </xf>
    <xf numFmtId="0" fontId="5" fillId="4" borderId="20" xfId="3" applyFont="1" applyFill="1" applyBorder="1" applyAlignment="1" applyProtection="1">
      <alignment horizontal="center" vertical="center"/>
    </xf>
    <xf numFmtId="0" fontId="5" fillId="4" borderId="21" xfId="3" applyFont="1" applyFill="1" applyBorder="1" applyAlignment="1" applyProtection="1">
      <alignment horizontal="center" vertical="center"/>
    </xf>
    <xf numFmtId="0" fontId="4" fillId="0" borderId="0" xfId="3" applyAlignment="1" applyProtection="1">
      <alignment vertical="center"/>
    </xf>
    <xf numFmtId="0" fontId="3" fillId="0" borderId="0" xfId="3" applyFont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3" fontId="7" fillId="0" borderId="26" xfId="0" applyNumberFormat="1" applyFont="1" applyBorder="1" applyAlignment="1" applyProtection="1">
      <alignment horizontal="center" vertical="center" shrinkToFit="1"/>
      <protection locked="0"/>
    </xf>
    <xf numFmtId="167" fontId="7" fillId="0" borderId="26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3" fontId="7" fillId="0" borderId="27" xfId="0" applyNumberFormat="1" applyFont="1" applyBorder="1" applyAlignment="1" applyProtection="1">
      <alignment horizontal="center" vertical="center" shrinkToFit="1"/>
      <protection locked="0"/>
    </xf>
    <xf numFmtId="167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65" fontId="11" fillId="2" borderId="2" xfId="2" applyNumberFormat="1" applyFont="1" applyFill="1" applyBorder="1" applyAlignment="1" applyProtection="1">
      <alignment horizontal="right" vertical="center" shrinkToFit="1"/>
    </xf>
    <xf numFmtId="0" fontId="11" fillId="2" borderId="3" xfId="0" applyFont="1" applyFill="1" applyBorder="1" applyAlignment="1" applyProtection="1">
      <alignment vertical="center" shrinkToFi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66" fontId="11" fillId="3" borderId="2" xfId="2" applyNumberFormat="1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5" fillId="8" borderId="19" xfId="3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1" fillId="3" borderId="2" xfId="0" applyFont="1" applyFill="1" applyBorder="1" applyAlignment="1" applyProtection="1">
      <alignment horizontal="center" vertical="center"/>
    </xf>
    <xf numFmtId="166" fontId="11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center"/>
    </xf>
    <xf numFmtId="165" fontId="11" fillId="0" borderId="0" xfId="2" applyNumberFormat="1" applyFont="1" applyBorder="1" applyAlignment="1" applyProtection="1">
      <alignment horizontal="right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"/>
    </xf>
    <xf numFmtId="3" fontId="10" fillId="0" borderId="0" xfId="0" applyNumberFormat="1" applyFont="1" applyAlignment="1" applyProtection="1"/>
    <xf numFmtId="0" fontId="10" fillId="0" borderId="0" xfId="0" applyFont="1" applyAlignment="1" applyProtection="1"/>
    <xf numFmtId="165" fontId="11" fillId="0" borderId="0" xfId="2" applyNumberFormat="1" applyFont="1" applyBorder="1" applyAlignment="1" applyProtection="1">
      <alignment horizontal="right" vertical="center" shrinkToFit="1"/>
    </xf>
    <xf numFmtId="0" fontId="11" fillId="0" borderId="3" xfId="0" applyFont="1" applyFill="1" applyBorder="1" applyAlignment="1" applyProtection="1">
      <alignment vertical="center" shrinkToFit="1"/>
      <protection locked="0"/>
    </xf>
    <xf numFmtId="165" fontId="11" fillId="0" borderId="2" xfId="2" applyNumberFormat="1" applyFont="1" applyFill="1" applyBorder="1" applyAlignment="1" applyProtection="1">
      <alignment horizontal="right" vertical="center" shrinkToFit="1"/>
      <protection locked="0"/>
    </xf>
    <xf numFmtId="166" fontId="11" fillId="9" borderId="2" xfId="2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shrinkToFit="1"/>
    </xf>
    <xf numFmtId="9" fontId="10" fillId="2" borderId="2" xfId="1" applyFont="1" applyFill="1" applyBorder="1" applyAlignment="1" applyProtection="1">
      <alignment horizont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 shrinkToFit="1"/>
    </xf>
    <xf numFmtId="0" fontId="4" fillId="0" borderId="0" xfId="3" applyAlignment="1" applyProtection="1">
      <alignment vertical="center"/>
      <protection locked="0"/>
    </xf>
    <xf numFmtId="0" fontId="4" fillId="0" borderId="0" xfId="3" applyFill="1" applyAlignment="1" applyProtection="1">
      <alignment vertical="center"/>
      <protection locked="0"/>
    </xf>
    <xf numFmtId="0" fontId="4" fillId="0" borderId="0" xfId="3" applyAlignment="1" applyProtection="1">
      <alignment horizontal="center" vertical="center"/>
      <protection locked="0"/>
    </xf>
    <xf numFmtId="0" fontId="4" fillId="0" borderId="0" xfId="3" applyAlignment="1" applyProtection="1">
      <alignment horizontal="center" vertical="center"/>
    </xf>
    <xf numFmtId="0" fontId="5" fillId="8" borderId="2" xfId="3" applyFont="1" applyFill="1" applyBorder="1" applyAlignment="1" applyProtection="1">
      <alignment horizontal="center" vertical="center"/>
    </xf>
    <xf numFmtId="0" fontId="4" fillId="0" borderId="0" xfId="3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7" fillId="0" borderId="26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2" fontId="10" fillId="2" borderId="2" xfId="1" applyNumberFormat="1" applyFont="1" applyFill="1" applyBorder="1" applyAlignment="1" applyProtection="1">
      <alignment horizontal="center" shrinkToFit="1"/>
    </xf>
    <xf numFmtId="0" fontId="0" fillId="0" borderId="0" xfId="0" applyAlignment="1" applyProtection="1"/>
    <xf numFmtId="3" fontId="0" fillId="0" borderId="0" xfId="0" applyNumberFormat="1" applyProtection="1"/>
    <xf numFmtId="0" fontId="15" fillId="3" borderId="2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0" fillId="0" borderId="0" xfId="0" quotePrefix="1" applyAlignment="1"/>
    <xf numFmtId="0" fontId="1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3" fontId="0" fillId="0" borderId="0" xfId="0" applyNumberFormat="1" applyAlignment="1" applyProtection="1">
      <alignment horizontal="right"/>
    </xf>
    <xf numFmtId="0" fontId="1" fillId="0" borderId="0" xfId="0" applyFont="1" applyAlignment="1">
      <alignment horizontal="center"/>
    </xf>
    <xf numFmtId="0" fontId="11" fillId="3" borderId="3" xfId="0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166" fontId="11" fillId="3" borderId="2" xfId="2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right" vertical="center" shrinkToFit="1"/>
      <protection locked="0"/>
    </xf>
    <xf numFmtId="0" fontId="11" fillId="3" borderId="2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right" vertical="center"/>
      <protection locked="0"/>
    </xf>
    <xf numFmtId="0" fontId="11" fillId="3" borderId="2" xfId="0" applyFont="1" applyFill="1" applyBorder="1" applyAlignment="1" applyProtection="1">
      <alignment horizontal="right" vertical="center" shrinkToFit="1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protection locked="0"/>
    </xf>
    <xf numFmtId="0" fontId="11" fillId="0" borderId="8" xfId="0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167" fontId="11" fillId="0" borderId="2" xfId="0" applyNumberFormat="1" applyFont="1" applyFill="1" applyBorder="1" applyAlignment="1" applyProtection="1">
      <alignment horizontal="left" vertical="center"/>
      <protection locked="0"/>
    </xf>
    <xf numFmtId="167" fontId="11" fillId="3" borderId="2" xfId="0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0" fillId="3" borderId="2" xfId="0" applyFont="1" applyFill="1" applyBorder="1" applyAlignment="1" applyProtection="1">
      <alignment horizontal="center"/>
    </xf>
    <xf numFmtId="3" fontId="10" fillId="2" borderId="3" xfId="0" applyNumberFormat="1" applyFont="1" applyFill="1" applyBorder="1" applyAlignment="1" applyProtection="1">
      <alignment horizontal="center" shrinkToFit="1"/>
    </xf>
    <xf numFmtId="3" fontId="10" fillId="2" borderId="8" xfId="0" applyNumberFormat="1" applyFont="1" applyFill="1" applyBorder="1" applyAlignment="1" applyProtection="1">
      <alignment horizontal="center" shrinkToFit="1"/>
    </xf>
    <xf numFmtId="3" fontId="10" fillId="2" borderId="4" xfId="0" applyNumberFormat="1" applyFont="1" applyFill="1" applyBorder="1" applyAlignment="1" applyProtection="1">
      <alignment horizontal="center" shrinkToFit="1"/>
    </xf>
    <xf numFmtId="167" fontId="10" fillId="2" borderId="3" xfId="0" applyNumberFormat="1" applyFont="1" applyFill="1" applyBorder="1" applyAlignment="1" applyProtection="1">
      <alignment horizontal="center" shrinkToFit="1"/>
    </xf>
    <xf numFmtId="167" fontId="10" fillId="2" borderId="8" xfId="0" applyNumberFormat="1" applyFont="1" applyFill="1" applyBorder="1" applyAlignment="1" applyProtection="1">
      <alignment horizontal="center" shrinkToFit="1"/>
    </xf>
    <xf numFmtId="167" fontId="10" fillId="2" borderId="4" xfId="0" applyNumberFormat="1" applyFont="1" applyFill="1" applyBorder="1" applyAlignment="1" applyProtection="1">
      <alignment horizont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16" fillId="10" borderId="2" xfId="0" applyFont="1" applyFill="1" applyBorder="1" applyAlignment="1" applyProtection="1">
      <alignment horizontal="center" vertical="center"/>
    </xf>
  </cellXfs>
  <cellStyles count="4">
    <cellStyle name="Euro" xfId="2" xr:uid="{00000000-0005-0000-0000-000000000000}"/>
    <cellStyle name="Normal" xfId="0" builtinId="0"/>
    <cellStyle name="Normal 2" xfId="3" xr:uid="{00000000-0005-0000-0000-000002000000}"/>
    <cellStyle name="Porcentaje" xfId="1" builtinId="5"/>
  </cellStyles>
  <dxfs count="5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27</xdr:row>
          <xdr:rowOff>57150</xdr:rowOff>
        </xdr:from>
        <xdr:to>
          <xdr:col>25</xdr:col>
          <xdr:colOff>466725</xdr:colOff>
          <xdr:row>30</xdr:row>
          <xdr:rowOff>66675</xdr:rowOff>
        </xdr:to>
        <xdr:sp macro="" textlink="">
          <xdr:nvSpPr>
            <xdr:cNvPr id="1033" name="Hall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a Salón de la Fama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30</xdr:row>
          <xdr:rowOff>161925</xdr:rowOff>
        </xdr:from>
        <xdr:to>
          <xdr:col>25</xdr:col>
          <xdr:colOff>466725</xdr:colOff>
          <xdr:row>34</xdr:row>
          <xdr:rowOff>9525</xdr:rowOff>
        </xdr:to>
        <xdr:sp macro="" textlink="">
          <xdr:nvSpPr>
            <xdr:cNvPr id="1035" name="Improvemen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Subida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1:AX963"/>
  <sheetViews>
    <sheetView showGridLines="0"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2.5703125" style="65" customWidth="1"/>
    <col min="2" max="2" width="15.85546875" style="65" bestFit="1" customWidth="1"/>
    <col min="3" max="3" width="4.28515625" style="65" bestFit="1" customWidth="1"/>
    <col min="4" max="4" width="16" style="65" customWidth="1"/>
    <col min="5" max="8" width="3.42578125" style="65" customWidth="1"/>
    <col min="9" max="9" width="7.42578125" style="65" customWidth="1"/>
    <col min="10" max="11" width="4.140625" style="65" customWidth="1"/>
    <col min="12" max="12" width="7.85546875" style="65" customWidth="1"/>
    <col min="13" max="13" width="4.85546875" style="65" customWidth="1"/>
    <col min="14" max="14" width="9.140625" style="65" customWidth="1"/>
    <col min="15" max="15" width="4.140625" style="65" customWidth="1"/>
    <col min="16" max="17" width="2" style="65" customWidth="1"/>
    <col min="18" max="18" width="4.5703125" style="65" customWidth="1"/>
    <col min="19" max="19" width="3.5703125" style="65" customWidth="1"/>
    <col min="20" max="23" width="4.140625" style="65" customWidth="1"/>
    <col min="24" max="24" width="4.42578125" style="65" customWidth="1"/>
    <col min="25" max="25" width="4.85546875" style="65" customWidth="1"/>
    <col min="26" max="26" width="9.140625" style="65" customWidth="1"/>
    <col min="27" max="30" width="3.42578125" style="65" hidden="1" customWidth="1"/>
    <col min="31" max="31" width="69.42578125" style="65" hidden="1" customWidth="1"/>
    <col min="32" max="32" width="11.42578125" style="65" hidden="1" customWidth="1"/>
    <col min="33" max="33" width="47.85546875" style="65" hidden="1" customWidth="1"/>
    <col min="34" max="34" width="11.42578125" style="65" hidden="1" customWidth="1"/>
    <col min="35" max="35" width="3.5703125" style="65" hidden="1" customWidth="1"/>
    <col min="36" max="36" width="19.5703125" style="65" hidden="1" customWidth="1"/>
    <col min="37" max="37" width="26" style="65" hidden="1" customWidth="1"/>
    <col min="38" max="38" width="8.28515625" style="65" hidden="1" customWidth="1"/>
    <col min="39" max="39" width="3.5703125" style="65" hidden="1" customWidth="1"/>
    <col min="40" max="40" width="19.5703125" style="65" hidden="1" customWidth="1"/>
    <col min="41" max="41" width="27.5703125" style="65" hidden="1" customWidth="1"/>
    <col min="42" max="42" width="4.140625" style="65" hidden="1" customWidth="1"/>
    <col min="43" max="43" width="8.28515625" style="65" hidden="1" customWidth="1"/>
    <col min="44" max="44" width="4.140625" style="65" hidden="1" customWidth="1"/>
    <col min="45" max="45" width="3" style="65" hidden="1" customWidth="1"/>
    <col min="46" max="47" width="3.5703125" style="65" hidden="1" customWidth="1"/>
    <col min="48" max="48" width="116.5703125" style="65" hidden="1" customWidth="1"/>
    <col min="49" max="49" width="7.5703125" style="65" hidden="1" customWidth="1"/>
    <col min="50" max="50" width="7.42578125" style="65" hidden="1" customWidth="1"/>
    <col min="51" max="16384" width="11.42578125" style="65"/>
  </cols>
  <sheetData>
    <row r="1" spans="1:50" ht="22.5" x14ac:dyDescent="0.25">
      <c r="A1" s="62" t="s">
        <v>74</v>
      </c>
      <c r="B1" s="62" t="str">
        <f>IF($D$24="English","PLAYER'S NAME","NOMBRE JUGADOR")</f>
        <v>NOMBRE JUGADOR</v>
      </c>
      <c r="C1" s="101" t="str">
        <f>IF($D$24="English","QTY MAX","CTD MAX")</f>
        <v>CTD MAX</v>
      </c>
      <c r="D1" s="62" t="str">
        <f>IF($D$24="English","POSITION","POSICIÓN")</f>
        <v>POSICIÓN</v>
      </c>
      <c r="E1" s="62" t="str">
        <f>IF($D$24="English","MA","MO")</f>
        <v>MO</v>
      </c>
      <c r="F1" s="62" t="str">
        <f>IF($D$24="English","ST","FU")</f>
        <v>FU</v>
      </c>
      <c r="G1" s="62" t="s">
        <v>13</v>
      </c>
      <c r="H1" s="63" t="str">
        <f>IF($D$24="English","AV","AR")</f>
        <v>AR</v>
      </c>
      <c r="I1" s="134" t="str">
        <f>IF($D$24="English","SKILLS","HABILIDADES")</f>
        <v>HABILIDADES</v>
      </c>
      <c r="J1" s="134"/>
      <c r="K1" s="134"/>
      <c r="L1" s="134"/>
      <c r="M1" s="134"/>
      <c r="N1" s="134"/>
      <c r="O1" s="134"/>
      <c r="P1" s="62" t="str">
        <f>IF($D$24="English","M","L")</f>
        <v>L</v>
      </c>
      <c r="Q1" s="64" t="str">
        <f>IF($D$24="English","N","P")</f>
        <v>P</v>
      </c>
      <c r="R1" s="62" t="s">
        <v>75</v>
      </c>
      <c r="S1" s="62" t="s">
        <v>76</v>
      </c>
      <c r="T1" s="62" t="s">
        <v>77</v>
      </c>
      <c r="U1" s="62" t="str">
        <f>IF($D$24="English","BH","HL")</f>
        <v>HL</v>
      </c>
      <c r="V1" s="62" t="str">
        <f>IF($D$24="English","SI","HG")</f>
        <v>HG</v>
      </c>
      <c r="W1" s="62" t="str">
        <f>IF($D$24="English","KI","MU")</f>
        <v>MU</v>
      </c>
      <c r="X1" s="62" t="s">
        <v>78</v>
      </c>
      <c r="Y1" s="62" t="str">
        <f>IF($D$24="English","SPP","PE")</f>
        <v>PE</v>
      </c>
      <c r="Z1" s="62" t="str">
        <f>IF($D$24="English","VALUE","VALOR")</f>
        <v>VALOR</v>
      </c>
      <c r="AA1" s="62" t="str">
        <f>IF($D$24="English","MA","MO")</f>
        <v>MO</v>
      </c>
      <c r="AB1" s="62" t="str">
        <f>IF($D$24="English","ST","FU")</f>
        <v>FU</v>
      </c>
      <c r="AC1" s="62" t="s">
        <v>13</v>
      </c>
      <c r="AD1" s="63" t="str">
        <f>IF($D$24="English","AV","AR")</f>
        <v>AR</v>
      </c>
      <c r="AE1" s="63" t="str">
        <f>IF($D$24="English","STARTING SKILLS","HABILIDADES INICIO")</f>
        <v>HABILIDADES INICIO</v>
      </c>
      <c r="AF1" s="62" t="str">
        <f>IF($D$24="English","€ START","€ INICIO")</f>
        <v>€ INICIO</v>
      </c>
      <c r="AG1" s="63" t="str">
        <f>IF($D$24="English","IMPROVEMENTS","SUBIDAS")</f>
        <v>SUBIDAS</v>
      </c>
      <c r="AH1" s="62" t="str">
        <f>IF($D$24="English","€ IMPROV","€ SUBIDAS")</f>
        <v>€ SUBIDAS</v>
      </c>
      <c r="AJ1" s="3" t="s">
        <v>54</v>
      </c>
      <c r="AK1"/>
      <c r="AL1" s="1"/>
      <c r="AM1" s="65">
        <v>0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3" t="s">
        <v>14</v>
      </c>
      <c r="AV1" s="3" t="s">
        <v>15</v>
      </c>
      <c r="AW1" s="3" t="s">
        <v>16</v>
      </c>
      <c r="AX1" s="3" t="s">
        <v>17</v>
      </c>
    </row>
    <row r="2" spans="1:50" x14ac:dyDescent="0.25">
      <c r="A2" s="66">
        <v>1</v>
      </c>
      <c r="B2" s="48"/>
      <c r="C2" s="49" t="str">
        <f ca="1">IFERROR(VLOOKUP($D2,OFFSET(Roster!$AN$1,MATCH($D$19,Roster!$AN$2:$AN$963,0),1,COUNTIF(Roster!$AN$2:$AN$963,$D$19),10),2,0),"")</f>
        <v/>
      </c>
      <c r="D2" s="48"/>
      <c r="E2" s="105"/>
      <c r="F2" s="105"/>
      <c r="G2" s="105"/>
      <c r="H2" s="105"/>
      <c r="I2" s="133"/>
      <c r="J2" s="133"/>
      <c r="K2" s="133"/>
      <c r="L2" s="133"/>
      <c r="M2" s="133"/>
      <c r="N2" s="133"/>
      <c r="O2" s="133"/>
      <c r="P2" s="48"/>
      <c r="Q2" s="48"/>
      <c r="R2" s="50"/>
      <c r="S2" s="50"/>
      <c r="T2" s="50"/>
      <c r="U2" s="50"/>
      <c r="V2" s="50"/>
      <c r="W2" s="50"/>
      <c r="X2" s="50"/>
      <c r="Y2" s="49" t="str">
        <f t="shared" ref="Y2:Y17" ca="1" si="0">IF(AA2="","",R2+3*S2+2*T2+2*SUM(U2:W2)+5*X2)</f>
        <v/>
      </c>
      <c r="Z2" s="51" t="str">
        <f ca="1">IF(SUM(AF2,AH2)=0,"",SUM(AF2,AH2))</f>
        <v/>
      </c>
      <c r="AA2" s="49" t="str">
        <f ca="1">IFERROR(VLOOKUP($D2,OFFSET(Roster!$AN$1,MATCH($D$19,Roster!$AN$2:$AN$963,0),1,COUNTIF(Roster!$AN$2:$AN$963,$D$19),10),4,0),"")</f>
        <v/>
      </c>
      <c r="AB2" s="49" t="str">
        <f ca="1">IFERROR(VLOOKUP($D2,OFFSET(Roster!$AN$1,MATCH($D$19,Roster!$AN$2:$AN$963,0),1,COUNTIF(Roster!$AN$2:$AN$963,$D$19),10),5,0),"")</f>
        <v/>
      </c>
      <c r="AC2" s="49" t="str">
        <f ca="1">IFERROR(VLOOKUP($D2,OFFSET(Roster!$AN$1,MATCH($D$19,Roster!$AN$2:$AN$963,0),1,COUNTIF(Roster!$AN$2:$AN$963,$D$19),10),6,0),"")</f>
        <v/>
      </c>
      <c r="AD2" s="49" t="str">
        <f ca="1">IFERROR(VLOOKUP($D2,OFFSET(Roster!$AN$1,MATCH($D$19,Roster!$AN$2:$AN$963,0),1,COUNTIF(Roster!$AN$2:$AN$963,$D$19),10),7,0),"")</f>
        <v/>
      </c>
      <c r="AE2" s="52" t="str">
        <f ca="1">IFERROR(VLOOKUP($D2,OFFSET(Roster!$AN$1,MATCH($D$19,Roster!$AN$2:$AN$963,0),1,COUNTIF(Roster!$AN$2:$AN$963,$D$19),10),8,0),"")</f>
        <v/>
      </c>
      <c r="AF2" s="51" t="str">
        <f ca="1">IFERROR(VLOOKUP($D2,OFFSET(Roster!$AN$1,MATCH($D$19,Roster!$AN$2:$AN$963,0),1,COUNTIF(Roster!$AN$2:$AN$963,$D$19),10),3,0),"")</f>
        <v/>
      </c>
      <c r="AG2" s="78"/>
      <c r="AH2" s="79"/>
      <c r="AJ2" t="s">
        <v>0</v>
      </c>
      <c r="AK2"/>
      <c r="AL2" s="1"/>
      <c r="AM2" s="65">
        <v>1</v>
      </c>
      <c r="AN2" s="1" t="s">
        <v>6</v>
      </c>
      <c r="AO2" s="4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25">
      <c r="A3" s="66">
        <v>2</v>
      </c>
      <c r="B3" s="48"/>
      <c r="C3" s="49" t="str">
        <f ca="1">IFERROR(VLOOKUP($D3,OFFSET(Roster!$AN$1,MATCH($D$19,Roster!$AN$2:$AN$963,0),1,COUNTIF(Roster!$AN$2:$AN$963,$D$19),10),2,0),"")</f>
        <v/>
      </c>
      <c r="D3" s="48"/>
      <c r="E3" s="105"/>
      <c r="F3" s="105"/>
      <c r="G3" s="105"/>
      <c r="H3" s="105"/>
      <c r="I3" s="133"/>
      <c r="J3" s="133"/>
      <c r="K3" s="133"/>
      <c r="L3" s="133"/>
      <c r="M3" s="133"/>
      <c r="N3" s="133"/>
      <c r="O3" s="133"/>
      <c r="P3" s="48"/>
      <c r="Q3" s="48"/>
      <c r="R3" s="50"/>
      <c r="S3" s="50"/>
      <c r="T3" s="50"/>
      <c r="U3" s="50"/>
      <c r="V3" s="50"/>
      <c r="W3" s="50"/>
      <c r="X3" s="50"/>
      <c r="Y3" s="49" t="str">
        <f t="shared" ca="1" si="0"/>
        <v/>
      </c>
      <c r="Z3" s="51" t="str">
        <f t="shared" ref="Z3:Z17" ca="1" si="1">IF(SUM(AF3,AH3)=0,"",SUM(AF3,AH3))</f>
        <v/>
      </c>
      <c r="AA3" s="49" t="str">
        <f ca="1">IFERROR(VLOOKUP($D3,OFFSET(Roster!$AN$1,MATCH($D$19,Roster!$AN$2:$AN$963,0),1,COUNTIF(Roster!$AN$2:$AN$963,$D$19),10),4,0),"")</f>
        <v/>
      </c>
      <c r="AB3" s="49" t="str">
        <f ca="1">IFERROR(VLOOKUP($D3,OFFSET(Roster!$AN$1,MATCH($D$19,Roster!$AN$2:$AN$963,0),1,COUNTIF(Roster!$AN$2:$AN$963,$D$19),10),5,0),"")</f>
        <v/>
      </c>
      <c r="AC3" s="49" t="str">
        <f ca="1">IFERROR(VLOOKUP($D3,OFFSET(Roster!$AN$1,MATCH($D$19,Roster!$AN$2:$AN$963,0),1,COUNTIF(Roster!$AN$2:$AN$963,$D$19),10),6,0),"")</f>
        <v/>
      </c>
      <c r="AD3" s="49" t="str">
        <f ca="1">IFERROR(VLOOKUP($D3,OFFSET(Roster!$AN$1,MATCH($D$19,Roster!$AN$2:$AN$963,0),1,COUNTIF(Roster!$AN$2:$AN$963,$D$19),10),7,0),"")</f>
        <v/>
      </c>
      <c r="AE3" s="52" t="str">
        <f ca="1">IFERROR(VLOOKUP($D3,OFFSET(Roster!$AN$1,MATCH($D$19,Roster!$AN$2:$AN$963,0),1,COUNTIF(Roster!$AN$2:$AN$963,$D$19),10),8,0),"")</f>
        <v/>
      </c>
      <c r="AF3" s="51" t="str">
        <f ca="1">IFERROR(VLOOKUP($D3,OFFSET(Roster!$AN$1,MATCH($D$19,Roster!$AN$2:$AN$963,0),1,COUNTIF(Roster!$AN$2:$AN$963,$D$19),10),3,0),"")</f>
        <v/>
      </c>
      <c r="AG3" s="78"/>
      <c r="AH3" s="79"/>
      <c r="AJ3" t="s">
        <v>1</v>
      </c>
      <c r="AK3"/>
      <c r="AL3" s="1"/>
      <c r="AM3" s="65">
        <v>2</v>
      </c>
      <c r="AN3" s="1" t="s">
        <v>6</v>
      </c>
      <c r="AO3" s="5" t="s">
        <v>2</v>
      </c>
      <c r="AP3" s="1">
        <v>16</v>
      </c>
      <c r="AQ3" s="2">
        <v>50000</v>
      </c>
      <c r="AR3" s="1">
        <v>6</v>
      </c>
      <c r="AS3" s="1">
        <v>3</v>
      </c>
      <c r="AT3" s="1">
        <v>3</v>
      </c>
      <c r="AU3" s="1">
        <v>7</v>
      </c>
      <c r="AV3" t="s">
        <v>18</v>
      </c>
      <c r="AW3" s="1" t="s">
        <v>22</v>
      </c>
      <c r="AX3" s="1" t="s">
        <v>26</v>
      </c>
    </row>
    <row r="4" spans="1:50" x14ac:dyDescent="0.25">
      <c r="A4" s="66">
        <v>3</v>
      </c>
      <c r="B4" s="48"/>
      <c r="C4" s="49" t="str">
        <f ca="1">IFERROR(VLOOKUP($D4,OFFSET(Roster!$AN$1,MATCH($D$19,Roster!$AN$2:$AN$963,0),1,COUNTIF(Roster!$AN$2:$AN$963,$D$19),10),2,0),"")</f>
        <v/>
      </c>
      <c r="D4" s="48"/>
      <c r="E4" s="105"/>
      <c r="F4" s="105"/>
      <c r="G4" s="105"/>
      <c r="H4" s="105"/>
      <c r="I4" s="133"/>
      <c r="J4" s="133"/>
      <c r="K4" s="133"/>
      <c r="L4" s="133"/>
      <c r="M4" s="133"/>
      <c r="N4" s="133"/>
      <c r="O4" s="133"/>
      <c r="P4" s="48"/>
      <c r="Q4" s="48"/>
      <c r="R4" s="50"/>
      <c r="S4" s="50"/>
      <c r="T4" s="50"/>
      <c r="U4" s="50"/>
      <c r="V4" s="50"/>
      <c r="W4" s="50"/>
      <c r="X4" s="50"/>
      <c r="Y4" s="49" t="str">
        <f t="shared" ca="1" si="0"/>
        <v/>
      </c>
      <c r="Z4" s="51" t="str">
        <f t="shared" ca="1" si="1"/>
        <v/>
      </c>
      <c r="AA4" s="49" t="str">
        <f ca="1">IFERROR(VLOOKUP($D4,OFFSET(Roster!$AN$1,MATCH($D$19,Roster!$AN$2:$AN$963,0),1,COUNTIF(Roster!$AN$2:$AN$963,$D$19),10),4,0),"")</f>
        <v/>
      </c>
      <c r="AB4" s="49" t="str">
        <f ca="1">IFERROR(VLOOKUP($D4,OFFSET(Roster!$AN$1,MATCH($D$19,Roster!$AN$2:$AN$963,0),1,COUNTIF(Roster!$AN$2:$AN$963,$D$19),10),5,0),"")</f>
        <v/>
      </c>
      <c r="AC4" s="49" t="str">
        <f ca="1">IFERROR(VLOOKUP($D4,OFFSET(Roster!$AN$1,MATCH($D$19,Roster!$AN$2:$AN$963,0),1,COUNTIF(Roster!$AN$2:$AN$963,$D$19),10),6,0),"")</f>
        <v/>
      </c>
      <c r="AD4" s="49" t="str">
        <f ca="1">IFERROR(VLOOKUP($D4,OFFSET(Roster!$AN$1,MATCH($D$19,Roster!$AN$2:$AN$963,0),1,COUNTIF(Roster!$AN$2:$AN$963,$D$19),10),7,0),"")</f>
        <v/>
      </c>
      <c r="AE4" s="52" t="str">
        <f ca="1">IFERROR(VLOOKUP($D4,OFFSET(Roster!$AN$1,MATCH($D$19,Roster!$AN$2:$AN$963,0),1,COUNTIF(Roster!$AN$2:$AN$963,$D$19),10),8,0),"")</f>
        <v/>
      </c>
      <c r="AF4" s="51" t="str">
        <f ca="1">IFERROR(VLOOKUP($D4,OFFSET(Roster!$AN$1,MATCH($D$19,Roster!$AN$2:$AN$963,0),1,COUNTIF(Roster!$AN$2:$AN$963,$D$19),10),3,0),"")</f>
        <v/>
      </c>
      <c r="AG4" s="78"/>
      <c r="AH4" s="79"/>
      <c r="AJ4"/>
      <c r="AK4"/>
      <c r="AL4" s="1"/>
      <c r="AM4" s="65">
        <v>3</v>
      </c>
      <c r="AN4" s="1" t="s">
        <v>6</v>
      </c>
      <c r="AO4" s="5" t="s">
        <v>3</v>
      </c>
      <c r="AP4" s="1">
        <v>2</v>
      </c>
      <c r="AQ4" s="2">
        <v>70000</v>
      </c>
      <c r="AR4" s="1">
        <v>6</v>
      </c>
      <c r="AS4" s="1">
        <v>3</v>
      </c>
      <c r="AT4" s="1">
        <v>3</v>
      </c>
      <c r="AU4" s="1">
        <v>7</v>
      </c>
      <c r="AV4" t="s">
        <v>19</v>
      </c>
      <c r="AW4" s="1" t="s">
        <v>23</v>
      </c>
      <c r="AX4" s="1" t="s">
        <v>27</v>
      </c>
    </row>
    <row r="5" spans="1:50" x14ac:dyDescent="0.25">
      <c r="A5" s="66">
        <v>4</v>
      </c>
      <c r="B5" s="48"/>
      <c r="C5" s="49" t="str">
        <f ca="1">IFERROR(VLOOKUP($D5,OFFSET(Roster!$AN$1,MATCH($D$19,Roster!$AN$2:$AN$963,0),1,COUNTIF(Roster!$AN$2:$AN$963,$D$19),10),2,0),"")</f>
        <v/>
      </c>
      <c r="D5" s="48"/>
      <c r="E5" s="105"/>
      <c r="F5" s="105"/>
      <c r="G5" s="105"/>
      <c r="H5" s="105"/>
      <c r="I5" s="133"/>
      <c r="J5" s="133"/>
      <c r="K5" s="133"/>
      <c r="L5" s="133"/>
      <c r="M5" s="133"/>
      <c r="N5" s="133"/>
      <c r="O5" s="133"/>
      <c r="P5" s="48"/>
      <c r="Q5" s="48"/>
      <c r="R5" s="50"/>
      <c r="S5" s="50"/>
      <c r="T5" s="50"/>
      <c r="U5" s="50"/>
      <c r="V5" s="50"/>
      <c r="W5" s="50"/>
      <c r="X5" s="50"/>
      <c r="Y5" s="49" t="str">
        <f t="shared" ca="1" si="0"/>
        <v/>
      </c>
      <c r="Z5" s="51" t="str">
        <f t="shared" ca="1" si="1"/>
        <v/>
      </c>
      <c r="AA5" s="49" t="str">
        <f ca="1">IFERROR(VLOOKUP($D5,OFFSET(Roster!$AN$1,MATCH($D$19,Roster!$AN$2:$AN$963,0),1,COUNTIF(Roster!$AN$2:$AN$963,$D$19),10),4,0),"")</f>
        <v/>
      </c>
      <c r="AB5" s="49" t="str">
        <f ca="1">IFERROR(VLOOKUP($D5,OFFSET(Roster!$AN$1,MATCH($D$19,Roster!$AN$2:$AN$963,0),1,COUNTIF(Roster!$AN$2:$AN$963,$D$19),10),5,0),"")</f>
        <v/>
      </c>
      <c r="AC5" s="49" t="str">
        <f ca="1">IFERROR(VLOOKUP($D5,OFFSET(Roster!$AN$1,MATCH($D$19,Roster!$AN$2:$AN$963,0),1,COUNTIF(Roster!$AN$2:$AN$963,$D$19),10),6,0),"")</f>
        <v/>
      </c>
      <c r="AD5" s="49" t="str">
        <f ca="1">IFERROR(VLOOKUP($D5,OFFSET(Roster!$AN$1,MATCH($D$19,Roster!$AN$2:$AN$963,0),1,COUNTIF(Roster!$AN$2:$AN$963,$D$19),10),7,0),"")</f>
        <v/>
      </c>
      <c r="AE5" s="52" t="str">
        <f ca="1">IFERROR(VLOOKUP($D5,OFFSET(Roster!$AN$1,MATCH($D$19,Roster!$AN$2:$AN$963,0),1,COUNTIF(Roster!$AN$2:$AN$963,$D$19),10),8,0),"")</f>
        <v/>
      </c>
      <c r="AF5" s="51" t="str">
        <f ca="1">IFERROR(VLOOKUP($D5,OFFSET(Roster!$AN$1,MATCH($D$19,Roster!$AN$2:$AN$963,0),1,COUNTIF(Roster!$AN$2:$AN$963,$D$19),10),3,0),"")</f>
        <v/>
      </c>
      <c r="AG5" s="78"/>
      <c r="AH5" s="79"/>
      <c r="AJ5" s="3" t="s">
        <v>7</v>
      </c>
      <c r="AK5" s="3" t="s">
        <v>84</v>
      </c>
      <c r="AL5" s="3" t="s">
        <v>53</v>
      </c>
      <c r="AM5" s="65">
        <v>4</v>
      </c>
      <c r="AN5" s="1" t="s">
        <v>6</v>
      </c>
      <c r="AO5" s="5" t="s">
        <v>4</v>
      </c>
      <c r="AP5" s="1">
        <v>2</v>
      </c>
      <c r="AQ5" s="2">
        <v>70000</v>
      </c>
      <c r="AR5" s="1">
        <v>6</v>
      </c>
      <c r="AS5" s="1">
        <v>3</v>
      </c>
      <c r="AT5" s="1">
        <v>3</v>
      </c>
      <c r="AU5" s="1">
        <v>7</v>
      </c>
      <c r="AV5" t="s">
        <v>20</v>
      </c>
      <c r="AW5" s="1" t="s">
        <v>24</v>
      </c>
      <c r="AX5" s="1" t="s">
        <v>28</v>
      </c>
    </row>
    <row r="6" spans="1:50" x14ac:dyDescent="0.25">
      <c r="A6" s="66">
        <v>5</v>
      </c>
      <c r="B6" s="48"/>
      <c r="C6" s="49" t="str">
        <f ca="1">IFERROR(VLOOKUP($D6,OFFSET(Roster!$AN$1,MATCH($D$19,Roster!$AN$2:$AN$963,0),1,COUNTIF(Roster!$AN$2:$AN$963,$D$19),10),2,0),"")</f>
        <v/>
      </c>
      <c r="D6" s="48"/>
      <c r="E6" s="105"/>
      <c r="F6" s="105"/>
      <c r="G6" s="105"/>
      <c r="H6" s="105"/>
      <c r="I6" s="133"/>
      <c r="J6" s="133"/>
      <c r="K6" s="133"/>
      <c r="L6" s="133"/>
      <c r="M6" s="133"/>
      <c r="N6" s="133"/>
      <c r="O6" s="133"/>
      <c r="P6" s="48"/>
      <c r="Q6" s="48"/>
      <c r="R6" s="50"/>
      <c r="S6" s="50"/>
      <c r="T6" s="50"/>
      <c r="U6" s="50"/>
      <c r="V6" s="50"/>
      <c r="W6" s="50"/>
      <c r="X6" s="50"/>
      <c r="Y6" s="49" t="str">
        <f t="shared" ca="1" si="0"/>
        <v/>
      </c>
      <c r="Z6" s="51" t="str">
        <f t="shared" ca="1" si="1"/>
        <v/>
      </c>
      <c r="AA6" s="49" t="str">
        <f ca="1">IFERROR(VLOOKUP($D6,OFFSET(Roster!$AN$1,MATCH($D$19,Roster!$AN$2:$AN$963,0),1,COUNTIF(Roster!$AN$2:$AN$963,$D$19),10),4,0),"")</f>
        <v/>
      </c>
      <c r="AB6" s="49" t="str">
        <f ca="1">IFERROR(VLOOKUP($D6,OFFSET(Roster!$AN$1,MATCH($D$19,Roster!$AN$2:$AN$963,0),1,COUNTIF(Roster!$AN$2:$AN$963,$D$19),10),5,0),"")</f>
        <v/>
      </c>
      <c r="AC6" s="49" t="str">
        <f ca="1">IFERROR(VLOOKUP($D6,OFFSET(Roster!$AN$1,MATCH($D$19,Roster!$AN$2:$AN$963,0),1,COUNTIF(Roster!$AN$2:$AN$963,$D$19),10),6,0),"")</f>
        <v/>
      </c>
      <c r="AD6" s="49" t="str">
        <f ca="1">IFERROR(VLOOKUP($D6,OFFSET(Roster!$AN$1,MATCH($D$19,Roster!$AN$2:$AN$963,0),1,COUNTIF(Roster!$AN$2:$AN$963,$D$19),10),7,0),"")</f>
        <v/>
      </c>
      <c r="AE6" s="52" t="str">
        <f ca="1">IFERROR(VLOOKUP($D6,OFFSET(Roster!$AN$1,MATCH($D$19,Roster!$AN$2:$AN$963,0),1,COUNTIF(Roster!$AN$2:$AN$963,$D$19),10),8,0),"")</f>
        <v/>
      </c>
      <c r="AF6" s="51" t="str">
        <f ca="1">IFERROR(VLOOKUP($D6,OFFSET(Roster!$AN$1,MATCH($D$19,Roster!$AN$2:$AN$963,0),1,COUNTIF(Roster!$AN$2:$AN$963,$D$19),10),3,0),"")</f>
        <v/>
      </c>
      <c r="AG6" s="78"/>
      <c r="AH6" s="79"/>
      <c r="AJ6"/>
      <c r="AK6" s="1" t="s">
        <v>81</v>
      </c>
      <c r="AL6" s="1"/>
      <c r="AN6" s="1" t="s">
        <v>6</v>
      </c>
      <c r="AO6" s="5" t="s">
        <v>5</v>
      </c>
      <c r="AP6" s="1">
        <v>4</v>
      </c>
      <c r="AQ6" s="2">
        <v>90000</v>
      </c>
      <c r="AR6" s="1">
        <v>6</v>
      </c>
      <c r="AS6" s="1">
        <v>3</v>
      </c>
      <c r="AT6" s="1">
        <v>3</v>
      </c>
      <c r="AU6" s="1">
        <v>7</v>
      </c>
      <c r="AV6" t="s">
        <v>21</v>
      </c>
      <c r="AW6" s="1" t="s">
        <v>25</v>
      </c>
      <c r="AX6" s="1" t="s">
        <v>29</v>
      </c>
    </row>
    <row r="7" spans="1:50" x14ac:dyDescent="0.25">
      <c r="A7" s="66">
        <v>6</v>
      </c>
      <c r="B7" s="48"/>
      <c r="C7" s="49" t="str">
        <f ca="1">IFERROR(VLOOKUP($D7,OFFSET(Roster!$AN$1,MATCH($D$19,Roster!$AN$2:$AN$963,0),1,COUNTIF(Roster!$AN$2:$AN$963,$D$19),10),2,0),"")</f>
        <v/>
      </c>
      <c r="D7" s="48"/>
      <c r="E7" s="105"/>
      <c r="F7" s="105"/>
      <c r="G7" s="105"/>
      <c r="H7" s="105"/>
      <c r="I7" s="133"/>
      <c r="J7" s="133"/>
      <c r="K7" s="133"/>
      <c r="L7" s="133"/>
      <c r="M7" s="133"/>
      <c r="N7" s="133"/>
      <c r="O7" s="133"/>
      <c r="P7" s="48"/>
      <c r="Q7" s="48"/>
      <c r="R7" s="50"/>
      <c r="S7" s="50"/>
      <c r="T7" s="50"/>
      <c r="U7" s="50"/>
      <c r="V7" s="50"/>
      <c r="W7" s="50"/>
      <c r="X7" s="50"/>
      <c r="Y7" s="49" t="str">
        <f t="shared" ca="1" si="0"/>
        <v/>
      </c>
      <c r="Z7" s="51" t="str">
        <f t="shared" ca="1" si="1"/>
        <v/>
      </c>
      <c r="AA7" s="49" t="str">
        <f ca="1">IFERROR(VLOOKUP($D7,OFFSET(Roster!$AN$1,MATCH($D$19,Roster!$AN$2:$AN$963,0),1,COUNTIF(Roster!$AN$2:$AN$963,$D$19),10),4,0),"")</f>
        <v/>
      </c>
      <c r="AB7" s="49" t="str">
        <f ca="1">IFERROR(VLOOKUP($D7,OFFSET(Roster!$AN$1,MATCH($D$19,Roster!$AN$2:$AN$963,0),1,COUNTIF(Roster!$AN$2:$AN$963,$D$19),10),5,0),"")</f>
        <v/>
      </c>
      <c r="AC7" s="49" t="str">
        <f ca="1">IFERROR(VLOOKUP($D7,OFFSET(Roster!$AN$1,MATCH($D$19,Roster!$AN$2:$AN$963,0),1,COUNTIF(Roster!$AN$2:$AN$963,$D$19),10),6,0),"")</f>
        <v/>
      </c>
      <c r="AD7" s="49" t="str">
        <f ca="1">IFERROR(VLOOKUP($D7,OFFSET(Roster!$AN$1,MATCH($D$19,Roster!$AN$2:$AN$963,0),1,COUNTIF(Roster!$AN$2:$AN$963,$D$19),10),7,0),"")</f>
        <v/>
      </c>
      <c r="AE7" s="52" t="str">
        <f ca="1">IFERROR(VLOOKUP($D7,OFFSET(Roster!$AN$1,MATCH($D$19,Roster!$AN$2:$AN$963,0),1,COUNTIF(Roster!$AN$2:$AN$963,$D$19),10),8,0),"")</f>
        <v/>
      </c>
      <c r="AF7" s="51" t="str">
        <f ca="1">IFERROR(VLOOKUP($D7,OFFSET(Roster!$AN$1,MATCH($D$19,Roster!$AN$2:$AN$963,0),1,COUNTIF(Roster!$AN$2:$AN$963,$D$19),10),3,0),"")</f>
        <v/>
      </c>
      <c r="AG7" s="78"/>
      <c r="AH7" s="79"/>
      <c r="AJ7" t="s">
        <v>6</v>
      </c>
      <c r="AK7" s="1" t="s">
        <v>81</v>
      </c>
      <c r="AL7" s="6">
        <v>50000</v>
      </c>
      <c r="AN7" s="1" t="s">
        <v>6</v>
      </c>
      <c r="AO7" s="5" t="s">
        <v>36</v>
      </c>
      <c r="AP7" s="1">
        <v>11</v>
      </c>
      <c r="AQ7" s="2">
        <v>50000</v>
      </c>
      <c r="AR7" s="1">
        <v>6</v>
      </c>
      <c r="AS7" s="1">
        <v>3</v>
      </c>
      <c r="AT7" s="1">
        <v>3</v>
      </c>
      <c r="AU7" s="1">
        <v>7</v>
      </c>
      <c r="AV7" t="s">
        <v>64</v>
      </c>
      <c r="AW7" s="1" t="s">
        <v>22</v>
      </c>
      <c r="AX7" s="1" t="s">
        <v>26</v>
      </c>
    </row>
    <row r="8" spans="1:50" x14ac:dyDescent="0.25">
      <c r="A8" s="66">
        <v>7</v>
      </c>
      <c r="B8" s="48"/>
      <c r="C8" s="49" t="str">
        <f ca="1">IFERROR(VLOOKUP($D8,OFFSET(Roster!$AN$1,MATCH($D$19,Roster!$AN$2:$AN$963,0),1,COUNTIF(Roster!$AN$2:$AN$963,$D$19),10),2,0),"")</f>
        <v/>
      </c>
      <c r="D8" s="48"/>
      <c r="E8" s="105"/>
      <c r="F8" s="105"/>
      <c r="G8" s="105"/>
      <c r="H8" s="105"/>
      <c r="I8" s="133"/>
      <c r="J8" s="133"/>
      <c r="K8" s="133"/>
      <c r="L8" s="133"/>
      <c r="M8" s="133"/>
      <c r="N8" s="133"/>
      <c r="O8" s="133"/>
      <c r="P8" s="48"/>
      <c r="Q8" s="48"/>
      <c r="R8" s="50"/>
      <c r="S8" s="50"/>
      <c r="T8" s="50"/>
      <c r="U8" s="50"/>
      <c r="V8" s="50"/>
      <c r="W8" s="50"/>
      <c r="X8" s="50"/>
      <c r="Y8" s="49" t="str">
        <f t="shared" ca="1" si="0"/>
        <v/>
      </c>
      <c r="Z8" s="51" t="str">
        <f t="shared" ca="1" si="1"/>
        <v/>
      </c>
      <c r="AA8" s="49" t="str">
        <f ca="1">IFERROR(VLOOKUP($D8,OFFSET(Roster!$AN$1,MATCH($D$19,Roster!$AN$2:$AN$963,0),1,COUNTIF(Roster!$AN$2:$AN$963,$D$19),10),4,0),"")</f>
        <v/>
      </c>
      <c r="AB8" s="49" t="str">
        <f ca="1">IFERROR(VLOOKUP($D8,OFFSET(Roster!$AN$1,MATCH($D$19,Roster!$AN$2:$AN$963,0),1,COUNTIF(Roster!$AN$2:$AN$963,$D$19),10),5,0),"")</f>
        <v/>
      </c>
      <c r="AC8" s="49" t="str">
        <f ca="1">IFERROR(VLOOKUP($D8,OFFSET(Roster!$AN$1,MATCH($D$19,Roster!$AN$2:$AN$963,0),1,COUNTIF(Roster!$AN$2:$AN$963,$D$19),10),6,0),"")</f>
        <v/>
      </c>
      <c r="AD8" s="49" t="str">
        <f ca="1">IFERROR(VLOOKUP($D8,OFFSET(Roster!$AN$1,MATCH($D$19,Roster!$AN$2:$AN$963,0),1,COUNTIF(Roster!$AN$2:$AN$963,$D$19),10),7,0),"")</f>
        <v/>
      </c>
      <c r="AE8" s="52" t="str">
        <f ca="1">IFERROR(VLOOKUP($D8,OFFSET(Roster!$AN$1,MATCH($D$19,Roster!$AN$2:$AN$963,0),1,COUNTIF(Roster!$AN$2:$AN$963,$D$19),10),8,0),"")</f>
        <v/>
      </c>
      <c r="AF8" s="51" t="str">
        <f ca="1">IFERROR(VLOOKUP($D8,OFFSET(Roster!$AN$1,MATCH($D$19,Roster!$AN$2:$AN$963,0),1,COUNTIF(Roster!$AN$2:$AN$963,$D$19),10),3,0),"")</f>
        <v/>
      </c>
      <c r="AG8" s="78"/>
      <c r="AH8" s="79"/>
      <c r="AJ8" t="s">
        <v>274</v>
      </c>
      <c r="AK8" s="1" t="s">
        <v>81</v>
      </c>
      <c r="AL8" s="6">
        <v>70000</v>
      </c>
      <c r="AN8" s="1" t="s">
        <v>6</v>
      </c>
      <c r="AO8" s="5" t="s">
        <v>30</v>
      </c>
      <c r="AP8" s="1">
        <v>1</v>
      </c>
      <c r="AQ8" s="2">
        <v>110000</v>
      </c>
      <c r="AR8" s="1">
        <v>6</v>
      </c>
      <c r="AS8" s="1">
        <v>3</v>
      </c>
      <c r="AT8" s="1">
        <v>3</v>
      </c>
      <c r="AU8" s="1">
        <v>8</v>
      </c>
      <c r="AV8" s="5" t="s">
        <v>138</v>
      </c>
      <c r="AW8" s="1" t="s">
        <v>37</v>
      </c>
      <c r="AX8" s="1" t="s">
        <v>37</v>
      </c>
    </row>
    <row r="9" spans="1:50" x14ac:dyDescent="0.25">
      <c r="A9" s="66">
        <v>8</v>
      </c>
      <c r="B9" s="48"/>
      <c r="C9" s="49" t="str">
        <f ca="1">IFERROR(VLOOKUP($D9,OFFSET(Roster!$AN$1,MATCH($D$19,Roster!$AN$2:$AN$963,0),1,COUNTIF(Roster!$AN$2:$AN$963,$D$19),10),2,0),"")</f>
        <v/>
      </c>
      <c r="D9" s="48"/>
      <c r="E9" s="105"/>
      <c r="F9" s="105"/>
      <c r="G9" s="105"/>
      <c r="H9" s="105"/>
      <c r="I9" s="133"/>
      <c r="J9" s="133"/>
      <c r="K9" s="133"/>
      <c r="L9" s="133"/>
      <c r="M9" s="133"/>
      <c r="N9" s="133"/>
      <c r="O9" s="133"/>
      <c r="P9" s="48"/>
      <c r="Q9" s="48"/>
      <c r="R9" s="50"/>
      <c r="S9" s="50"/>
      <c r="T9" s="50"/>
      <c r="U9" s="50"/>
      <c r="V9" s="50"/>
      <c r="W9" s="50"/>
      <c r="X9" s="50"/>
      <c r="Y9" s="49" t="str">
        <f t="shared" ca="1" si="0"/>
        <v/>
      </c>
      <c r="Z9" s="51" t="str">
        <f t="shared" ca="1" si="1"/>
        <v/>
      </c>
      <c r="AA9" s="49" t="str">
        <f ca="1">IFERROR(VLOOKUP($D9,OFFSET(Roster!$AN$1,MATCH($D$19,Roster!$AN$2:$AN$963,0),1,COUNTIF(Roster!$AN$2:$AN$963,$D$19),10),4,0),"")</f>
        <v/>
      </c>
      <c r="AB9" s="49" t="str">
        <f ca="1">IFERROR(VLOOKUP($D9,OFFSET(Roster!$AN$1,MATCH($D$19,Roster!$AN$2:$AN$963,0),1,COUNTIF(Roster!$AN$2:$AN$963,$D$19),10),5,0),"")</f>
        <v/>
      </c>
      <c r="AC9" s="49" t="str">
        <f ca="1">IFERROR(VLOOKUP($D9,OFFSET(Roster!$AN$1,MATCH($D$19,Roster!$AN$2:$AN$963,0),1,COUNTIF(Roster!$AN$2:$AN$963,$D$19),10),6,0),"")</f>
        <v/>
      </c>
      <c r="AD9" s="49" t="str">
        <f ca="1">IFERROR(VLOOKUP($D9,OFFSET(Roster!$AN$1,MATCH($D$19,Roster!$AN$2:$AN$963,0),1,COUNTIF(Roster!$AN$2:$AN$963,$D$19),10),7,0),"")</f>
        <v/>
      </c>
      <c r="AE9" s="52" t="str">
        <f ca="1">IFERROR(VLOOKUP($D9,OFFSET(Roster!$AN$1,MATCH($D$19,Roster!$AN$2:$AN$963,0),1,COUNTIF(Roster!$AN$2:$AN$963,$D$19),10),8,0),"")</f>
        <v/>
      </c>
      <c r="AF9" s="51" t="str">
        <f ca="1">IFERROR(VLOOKUP($D9,OFFSET(Roster!$AN$1,MATCH($D$19,Roster!$AN$2:$AN$963,0),1,COUNTIF(Roster!$AN$2:$AN$963,$D$19),10),3,0),"")</f>
        <v/>
      </c>
      <c r="AG9" s="78"/>
      <c r="AH9" s="79"/>
      <c r="AJ9" s="5" t="s">
        <v>884</v>
      </c>
      <c r="AK9" s="1" t="s">
        <v>81</v>
      </c>
      <c r="AL9" s="6">
        <v>60000</v>
      </c>
      <c r="AN9" s="1" t="s">
        <v>6</v>
      </c>
      <c r="AO9" s="5" t="s">
        <v>31</v>
      </c>
      <c r="AP9" s="1">
        <v>1</v>
      </c>
      <c r="AQ9" s="2">
        <v>150000</v>
      </c>
      <c r="AR9" s="1">
        <v>5</v>
      </c>
      <c r="AS9" s="1">
        <v>4</v>
      </c>
      <c r="AT9" s="1">
        <v>3</v>
      </c>
      <c r="AU9" s="1">
        <v>8</v>
      </c>
      <c r="AV9" s="5" t="s">
        <v>167</v>
      </c>
      <c r="AW9" s="1" t="s">
        <v>37</v>
      </c>
      <c r="AX9" s="1" t="s">
        <v>37</v>
      </c>
    </row>
    <row r="10" spans="1:50" x14ac:dyDescent="0.25">
      <c r="A10" s="66">
        <v>9</v>
      </c>
      <c r="B10" s="48"/>
      <c r="C10" s="49" t="str">
        <f ca="1">IFERROR(VLOOKUP($D10,OFFSET(Roster!$AN$1,MATCH($D$19,Roster!$AN$2:$AN$963,0),1,COUNTIF(Roster!$AN$2:$AN$963,$D$19),10),2,0),"")</f>
        <v/>
      </c>
      <c r="D10" s="48"/>
      <c r="E10" s="105"/>
      <c r="F10" s="105"/>
      <c r="G10" s="105"/>
      <c r="H10" s="105"/>
      <c r="I10" s="133"/>
      <c r="J10" s="133"/>
      <c r="K10" s="133"/>
      <c r="L10" s="133"/>
      <c r="M10" s="133"/>
      <c r="N10" s="133"/>
      <c r="O10" s="133"/>
      <c r="P10" s="48"/>
      <c r="Q10" s="48"/>
      <c r="R10" s="50"/>
      <c r="S10" s="50"/>
      <c r="T10" s="50"/>
      <c r="U10" s="50"/>
      <c r="V10" s="50"/>
      <c r="W10" s="50"/>
      <c r="X10" s="50"/>
      <c r="Y10" s="49" t="str">
        <f t="shared" ca="1" si="0"/>
        <v/>
      </c>
      <c r="Z10" s="51" t="str">
        <f t="shared" ca="1" si="1"/>
        <v/>
      </c>
      <c r="AA10" s="49" t="str">
        <f ca="1">IFERROR(VLOOKUP($D10,OFFSET(Roster!$AN$1,MATCH($D$19,Roster!$AN$2:$AN$963,0),1,COUNTIF(Roster!$AN$2:$AN$963,$D$19),10),4,0),"")</f>
        <v/>
      </c>
      <c r="AB10" s="49" t="str">
        <f ca="1">IFERROR(VLOOKUP($D10,OFFSET(Roster!$AN$1,MATCH($D$19,Roster!$AN$2:$AN$963,0),1,COUNTIF(Roster!$AN$2:$AN$963,$D$19),10),5,0),"")</f>
        <v/>
      </c>
      <c r="AC10" s="49" t="str">
        <f ca="1">IFERROR(VLOOKUP($D10,OFFSET(Roster!$AN$1,MATCH($D$19,Roster!$AN$2:$AN$963,0),1,COUNTIF(Roster!$AN$2:$AN$963,$D$19),10),6,0),"")</f>
        <v/>
      </c>
      <c r="AD10" s="49" t="str">
        <f ca="1">IFERROR(VLOOKUP($D10,OFFSET(Roster!$AN$1,MATCH($D$19,Roster!$AN$2:$AN$963,0),1,COUNTIF(Roster!$AN$2:$AN$963,$D$19),10),7,0),"")</f>
        <v/>
      </c>
      <c r="AE10" s="52" t="str">
        <f ca="1">IFERROR(VLOOKUP($D10,OFFSET(Roster!$AN$1,MATCH($D$19,Roster!$AN$2:$AN$963,0),1,COUNTIF(Roster!$AN$2:$AN$963,$D$19),10),8,0),"")</f>
        <v/>
      </c>
      <c r="AF10" s="51" t="str">
        <f ca="1">IFERROR(VLOOKUP($D10,OFFSET(Roster!$AN$1,MATCH($D$19,Roster!$AN$2:$AN$963,0),1,COUNTIF(Roster!$AN$2:$AN$963,$D$19),10),3,0),"")</f>
        <v/>
      </c>
      <c r="AG10" s="78"/>
      <c r="AH10" s="79"/>
      <c r="AJ10" t="s">
        <v>661</v>
      </c>
      <c r="AK10" s="1" t="s">
        <v>81</v>
      </c>
      <c r="AL10" s="6">
        <v>70000</v>
      </c>
      <c r="AN10" s="1" t="s">
        <v>6</v>
      </c>
      <c r="AO10" s="5" t="s">
        <v>125</v>
      </c>
      <c r="AP10" s="1">
        <v>1</v>
      </c>
      <c r="AQ10" s="2">
        <v>220000</v>
      </c>
      <c r="AR10" s="1">
        <v>6</v>
      </c>
      <c r="AS10" s="1">
        <v>4</v>
      </c>
      <c r="AT10" s="1">
        <v>3</v>
      </c>
      <c r="AU10" s="1">
        <v>8</v>
      </c>
      <c r="AV10" s="5" t="s">
        <v>169</v>
      </c>
      <c r="AW10" s="1" t="s">
        <v>37</v>
      </c>
      <c r="AX10" s="1" t="s">
        <v>37</v>
      </c>
    </row>
    <row r="11" spans="1:50" x14ac:dyDescent="0.25">
      <c r="A11" s="66">
        <v>10</v>
      </c>
      <c r="B11" s="48"/>
      <c r="C11" s="49" t="str">
        <f ca="1">IFERROR(VLOOKUP($D11,OFFSET(Roster!$AN$1,MATCH($D$19,Roster!$AN$2:$AN$963,0),1,COUNTIF(Roster!$AN$2:$AN$963,$D$19),10),2,0),"")</f>
        <v/>
      </c>
      <c r="D11" s="48"/>
      <c r="E11" s="105"/>
      <c r="F11" s="105"/>
      <c r="G11" s="105"/>
      <c r="H11" s="105"/>
      <c r="I11" s="133"/>
      <c r="J11" s="133"/>
      <c r="K11" s="133"/>
      <c r="L11" s="133"/>
      <c r="M11" s="133"/>
      <c r="N11" s="133"/>
      <c r="O11" s="133"/>
      <c r="P11" s="48"/>
      <c r="Q11" s="48"/>
      <c r="R11" s="50"/>
      <c r="S11" s="50"/>
      <c r="T11" s="50"/>
      <c r="U11" s="50"/>
      <c r="V11" s="50"/>
      <c r="W11" s="50"/>
      <c r="X11" s="50"/>
      <c r="Y11" s="49" t="str">
        <f t="shared" ca="1" si="0"/>
        <v/>
      </c>
      <c r="Z11" s="51" t="str">
        <f t="shared" ca="1" si="1"/>
        <v/>
      </c>
      <c r="AA11" s="49" t="str">
        <f ca="1">IFERROR(VLOOKUP($D11,OFFSET(Roster!$AN$1,MATCH($D$19,Roster!$AN$2:$AN$963,0),1,COUNTIF(Roster!$AN$2:$AN$963,$D$19),10),4,0),"")</f>
        <v/>
      </c>
      <c r="AB11" s="49" t="str">
        <f ca="1">IFERROR(VLOOKUP($D11,OFFSET(Roster!$AN$1,MATCH($D$19,Roster!$AN$2:$AN$963,0),1,COUNTIF(Roster!$AN$2:$AN$963,$D$19),10),5,0),"")</f>
        <v/>
      </c>
      <c r="AC11" s="49" t="str">
        <f ca="1">IFERROR(VLOOKUP($D11,OFFSET(Roster!$AN$1,MATCH($D$19,Roster!$AN$2:$AN$963,0),1,COUNTIF(Roster!$AN$2:$AN$963,$D$19),10),6,0),"")</f>
        <v/>
      </c>
      <c r="AD11" s="49" t="str">
        <f ca="1">IFERROR(VLOOKUP($D11,OFFSET(Roster!$AN$1,MATCH($D$19,Roster!$AN$2:$AN$963,0),1,COUNTIF(Roster!$AN$2:$AN$963,$D$19),10),7,0),"")</f>
        <v/>
      </c>
      <c r="AE11" s="52" t="str">
        <f ca="1">IFERROR(VLOOKUP($D11,OFFSET(Roster!$AN$1,MATCH($D$19,Roster!$AN$2:$AN$963,0),1,COUNTIF(Roster!$AN$2:$AN$963,$D$19),10),8,0),"")</f>
        <v/>
      </c>
      <c r="AF11" s="51" t="str">
        <f ca="1">IFERROR(VLOOKUP($D11,OFFSET(Roster!$AN$1,MATCH($D$19,Roster!$AN$2:$AN$963,0),1,COUNTIF(Roster!$AN$2:$AN$963,$D$19),10),3,0),"")</f>
        <v/>
      </c>
      <c r="AG11" s="78"/>
      <c r="AH11" s="79"/>
      <c r="AJ11" t="s">
        <v>885</v>
      </c>
      <c r="AK11" s="1" t="s">
        <v>81</v>
      </c>
      <c r="AL11" s="6">
        <v>70000</v>
      </c>
      <c r="AN11" s="1" t="s">
        <v>6</v>
      </c>
      <c r="AO11" s="5" t="s">
        <v>32</v>
      </c>
      <c r="AP11" s="1">
        <v>1</v>
      </c>
      <c r="AQ11" s="2">
        <v>250000</v>
      </c>
      <c r="AR11" s="1">
        <v>8</v>
      </c>
      <c r="AS11" s="1">
        <v>3</v>
      </c>
      <c r="AT11" s="1">
        <v>5</v>
      </c>
      <c r="AU11" s="1">
        <v>7</v>
      </c>
      <c r="AV11" s="5" t="s">
        <v>159</v>
      </c>
      <c r="AW11" s="1" t="s">
        <v>37</v>
      </c>
      <c r="AX11" s="1" t="s">
        <v>37</v>
      </c>
    </row>
    <row r="12" spans="1:50" x14ac:dyDescent="0.25">
      <c r="A12" s="66">
        <v>11</v>
      </c>
      <c r="B12" s="48"/>
      <c r="C12" s="49" t="str">
        <f ca="1">IFERROR(VLOOKUP($D12,OFFSET(Roster!$AN$1,MATCH($D$19,Roster!$AN$2:$AN$963,0),1,COUNTIF(Roster!$AN$2:$AN$963,$D$19),10),2,0),"")</f>
        <v/>
      </c>
      <c r="D12" s="48"/>
      <c r="E12" s="105"/>
      <c r="F12" s="105"/>
      <c r="G12" s="105"/>
      <c r="H12" s="105"/>
      <c r="I12" s="133"/>
      <c r="J12" s="133"/>
      <c r="K12" s="133"/>
      <c r="L12" s="133"/>
      <c r="M12" s="133"/>
      <c r="N12" s="133"/>
      <c r="O12" s="133"/>
      <c r="P12" s="48"/>
      <c r="Q12" s="48"/>
      <c r="R12" s="50"/>
      <c r="S12" s="50"/>
      <c r="T12" s="50"/>
      <c r="U12" s="50"/>
      <c r="V12" s="50"/>
      <c r="W12" s="50"/>
      <c r="X12" s="50"/>
      <c r="Y12" s="49" t="str">
        <f t="shared" ca="1" si="0"/>
        <v/>
      </c>
      <c r="Z12" s="51" t="str">
        <f t="shared" ca="1" si="1"/>
        <v/>
      </c>
      <c r="AA12" s="49" t="str">
        <f ca="1">IFERROR(VLOOKUP($D12,OFFSET(Roster!$AN$1,MATCH($D$19,Roster!$AN$2:$AN$963,0),1,COUNTIF(Roster!$AN$2:$AN$963,$D$19),10),4,0),"")</f>
        <v/>
      </c>
      <c r="AB12" s="49" t="str">
        <f ca="1">IFERROR(VLOOKUP($D12,OFFSET(Roster!$AN$1,MATCH($D$19,Roster!$AN$2:$AN$963,0),1,COUNTIF(Roster!$AN$2:$AN$963,$D$19),10),5,0),"")</f>
        <v/>
      </c>
      <c r="AC12" s="49" t="str">
        <f ca="1">IFERROR(VLOOKUP($D12,OFFSET(Roster!$AN$1,MATCH($D$19,Roster!$AN$2:$AN$963,0),1,COUNTIF(Roster!$AN$2:$AN$963,$D$19),10),6,0),"")</f>
        <v/>
      </c>
      <c r="AD12" s="49" t="str">
        <f ca="1">IFERROR(VLOOKUP($D12,OFFSET(Roster!$AN$1,MATCH($D$19,Roster!$AN$2:$AN$963,0),1,COUNTIF(Roster!$AN$2:$AN$963,$D$19),10),7,0),"")</f>
        <v/>
      </c>
      <c r="AE12" s="52" t="str">
        <f ca="1">IFERROR(VLOOKUP($D12,OFFSET(Roster!$AN$1,MATCH($D$19,Roster!$AN$2:$AN$963,0),1,COUNTIF(Roster!$AN$2:$AN$963,$D$19),10),8,0),"")</f>
        <v/>
      </c>
      <c r="AF12" s="51" t="str">
        <f ca="1">IFERROR(VLOOKUP($D12,OFFSET(Roster!$AN$1,MATCH($D$19,Roster!$AN$2:$AN$963,0),1,COUNTIF(Roster!$AN$2:$AN$963,$D$19),10),3,0),"")</f>
        <v/>
      </c>
      <c r="AG12" s="78"/>
      <c r="AH12" s="79"/>
      <c r="AJ12" t="s">
        <v>662</v>
      </c>
      <c r="AK12" s="1" t="s">
        <v>81</v>
      </c>
      <c r="AL12" s="6">
        <v>70000</v>
      </c>
      <c r="AN12" s="1" t="s">
        <v>6</v>
      </c>
      <c r="AO12" s="5" t="s">
        <v>33</v>
      </c>
      <c r="AP12" s="1">
        <v>1</v>
      </c>
      <c r="AQ12" s="2">
        <v>270000</v>
      </c>
      <c r="AR12" s="1">
        <v>6</v>
      </c>
      <c r="AS12" s="1">
        <v>4</v>
      </c>
      <c r="AT12" s="1">
        <v>3</v>
      </c>
      <c r="AU12" s="1">
        <v>8</v>
      </c>
      <c r="AV12" s="5" t="s">
        <v>168</v>
      </c>
      <c r="AW12" s="1" t="s">
        <v>37</v>
      </c>
      <c r="AX12" s="1" t="s">
        <v>37</v>
      </c>
    </row>
    <row r="13" spans="1:50" x14ac:dyDescent="0.25">
      <c r="A13" s="66">
        <v>12</v>
      </c>
      <c r="B13" s="48"/>
      <c r="C13" s="49" t="str">
        <f ca="1">IFERROR(VLOOKUP($D13,OFFSET(Roster!$AN$1,MATCH($D$19,Roster!$AN$2:$AN$963,0),1,COUNTIF(Roster!$AN$2:$AN$963,$D$19),10),2,0),"")</f>
        <v/>
      </c>
      <c r="D13" s="48"/>
      <c r="E13" s="105"/>
      <c r="F13" s="105"/>
      <c r="G13" s="105"/>
      <c r="H13" s="105"/>
      <c r="I13" s="133"/>
      <c r="J13" s="133"/>
      <c r="K13" s="133"/>
      <c r="L13" s="133"/>
      <c r="M13" s="133"/>
      <c r="N13" s="133"/>
      <c r="O13" s="133"/>
      <c r="P13" s="48"/>
      <c r="Q13" s="48"/>
      <c r="R13" s="50"/>
      <c r="S13" s="50"/>
      <c r="T13" s="50"/>
      <c r="U13" s="50"/>
      <c r="V13" s="50"/>
      <c r="W13" s="50"/>
      <c r="X13" s="50"/>
      <c r="Y13" s="49" t="str">
        <f t="shared" ca="1" si="0"/>
        <v/>
      </c>
      <c r="Z13" s="51" t="str">
        <f t="shared" ca="1" si="1"/>
        <v/>
      </c>
      <c r="AA13" s="49" t="str">
        <f ca="1">IFERROR(VLOOKUP($D13,OFFSET(Roster!$AN$1,MATCH($D$19,Roster!$AN$2:$AN$963,0),1,COUNTIF(Roster!$AN$2:$AN$963,$D$19),10),4,0),"")</f>
        <v/>
      </c>
      <c r="AB13" s="49" t="str">
        <f ca="1">IFERROR(VLOOKUP($D13,OFFSET(Roster!$AN$1,MATCH($D$19,Roster!$AN$2:$AN$963,0),1,COUNTIF(Roster!$AN$2:$AN$963,$D$19),10),5,0),"")</f>
        <v/>
      </c>
      <c r="AC13" s="49" t="str">
        <f ca="1">IFERROR(VLOOKUP($D13,OFFSET(Roster!$AN$1,MATCH($D$19,Roster!$AN$2:$AN$963,0),1,COUNTIF(Roster!$AN$2:$AN$963,$D$19),10),6,0),"")</f>
        <v/>
      </c>
      <c r="AD13" s="49" t="str">
        <f ca="1">IFERROR(VLOOKUP($D13,OFFSET(Roster!$AN$1,MATCH($D$19,Roster!$AN$2:$AN$963,0),1,COUNTIF(Roster!$AN$2:$AN$963,$D$19),10),7,0),"")</f>
        <v/>
      </c>
      <c r="AE13" s="52" t="str">
        <f ca="1">IFERROR(VLOOKUP($D13,OFFSET(Roster!$AN$1,MATCH($D$19,Roster!$AN$2:$AN$963,0),1,COUNTIF(Roster!$AN$2:$AN$963,$D$19),10),8,0),"")</f>
        <v/>
      </c>
      <c r="AF13" s="51" t="str">
        <f ca="1">IFERROR(VLOOKUP($D13,OFFSET(Roster!$AN$1,MATCH($D$19,Roster!$AN$2:$AN$963,0),1,COUNTIF(Roster!$AN$2:$AN$963,$D$19),10),3,0),"")</f>
        <v/>
      </c>
      <c r="AG13" s="78"/>
      <c r="AH13" s="79"/>
      <c r="AJ13" t="s">
        <v>663</v>
      </c>
      <c r="AK13" s="1" t="s">
        <v>81</v>
      </c>
      <c r="AL13" s="6">
        <v>50000</v>
      </c>
      <c r="AN13" s="92" t="s">
        <v>6</v>
      </c>
      <c r="AO13" s="99" t="s">
        <v>834</v>
      </c>
      <c r="AP13" s="92">
        <v>1</v>
      </c>
      <c r="AQ13" s="100">
        <v>280000</v>
      </c>
      <c r="AR13" s="92">
        <v>5</v>
      </c>
      <c r="AS13" s="92">
        <v>5</v>
      </c>
      <c r="AT13" s="92">
        <v>2</v>
      </c>
      <c r="AU13" s="92">
        <v>9</v>
      </c>
      <c r="AV13" s="99" t="s">
        <v>835</v>
      </c>
      <c r="AW13" s="1" t="s">
        <v>37</v>
      </c>
      <c r="AX13" s="1" t="s">
        <v>37</v>
      </c>
    </row>
    <row r="14" spans="1:50" x14ac:dyDescent="0.25">
      <c r="A14" s="66">
        <v>13</v>
      </c>
      <c r="B14" s="48"/>
      <c r="C14" s="49" t="str">
        <f ca="1">IFERROR(VLOOKUP($D14,OFFSET(Roster!$AN$1,MATCH($D$19,Roster!$AN$2:$AN$963,0),1,COUNTIF(Roster!$AN$2:$AN$963,$D$19),10),2,0),"")</f>
        <v/>
      </c>
      <c r="D14" s="48"/>
      <c r="E14" s="105"/>
      <c r="F14" s="105"/>
      <c r="G14" s="105"/>
      <c r="H14" s="105"/>
      <c r="I14" s="133"/>
      <c r="J14" s="133"/>
      <c r="K14" s="133"/>
      <c r="L14" s="133"/>
      <c r="M14" s="133"/>
      <c r="N14" s="133"/>
      <c r="O14" s="133"/>
      <c r="P14" s="48"/>
      <c r="Q14" s="48"/>
      <c r="R14" s="50"/>
      <c r="S14" s="50"/>
      <c r="T14" s="50"/>
      <c r="U14" s="50"/>
      <c r="V14" s="50"/>
      <c r="W14" s="50"/>
      <c r="X14" s="50"/>
      <c r="Y14" s="49" t="str">
        <f t="shared" ca="1" si="0"/>
        <v/>
      </c>
      <c r="Z14" s="51" t="str">
        <f t="shared" ca="1" si="1"/>
        <v/>
      </c>
      <c r="AA14" s="49" t="str">
        <f ca="1">IFERROR(VLOOKUP($D14,OFFSET(Roster!$AN$1,MATCH($D$19,Roster!$AN$2:$AN$963,0),1,COUNTIF(Roster!$AN$2:$AN$963,$D$19),10),4,0),"")</f>
        <v/>
      </c>
      <c r="AB14" s="49" t="str">
        <f ca="1">IFERROR(VLOOKUP($D14,OFFSET(Roster!$AN$1,MATCH($D$19,Roster!$AN$2:$AN$963,0),1,COUNTIF(Roster!$AN$2:$AN$963,$D$19),10),5,0),"")</f>
        <v/>
      </c>
      <c r="AC14" s="49" t="str">
        <f ca="1">IFERROR(VLOOKUP($D14,OFFSET(Roster!$AN$1,MATCH($D$19,Roster!$AN$2:$AN$963,0),1,COUNTIF(Roster!$AN$2:$AN$963,$D$19),10),6,0),"")</f>
        <v/>
      </c>
      <c r="AD14" s="49" t="str">
        <f ca="1">IFERROR(VLOOKUP($D14,OFFSET(Roster!$AN$1,MATCH($D$19,Roster!$AN$2:$AN$963,0),1,COUNTIF(Roster!$AN$2:$AN$963,$D$19),10),7,0),"")</f>
        <v/>
      </c>
      <c r="AE14" s="52" t="str">
        <f ca="1">IFERROR(VLOOKUP($D14,OFFSET(Roster!$AN$1,MATCH($D$19,Roster!$AN$2:$AN$963,0),1,COUNTIF(Roster!$AN$2:$AN$963,$D$19),10),8,0),"")</f>
        <v/>
      </c>
      <c r="AF14" s="51" t="str">
        <f ca="1">IFERROR(VLOOKUP($D14,OFFSET(Roster!$AN$1,MATCH($D$19,Roster!$AN$2:$AN$963,0),1,COUNTIF(Roster!$AN$2:$AN$963,$D$19),10),3,0),"")</f>
        <v/>
      </c>
      <c r="AG14" s="78"/>
      <c r="AH14" s="79"/>
      <c r="AJ14" t="s">
        <v>254</v>
      </c>
      <c r="AK14" s="1" t="s">
        <v>81</v>
      </c>
      <c r="AL14" s="6">
        <v>50000</v>
      </c>
      <c r="AN14" s="1" t="s">
        <v>6</v>
      </c>
      <c r="AO14" s="5" t="s">
        <v>34</v>
      </c>
      <c r="AP14" s="1">
        <v>1</v>
      </c>
      <c r="AQ14" s="2">
        <v>290000</v>
      </c>
      <c r="AR14" s="1">
        <v>6</v>
      </c>
      <c r="AS14" s="1">
        <v>5</v>
      </c>
      <c r="AT14" s="1">
        <v>2</v>
      </c>
      <c r="AU14" s="1">
        <v>9</v>
      </c>
      <c r="AV14" s="5" t="s">
        <v>88</v>
      </c>
      <c r="AW14" s="1" t="s">
        <v>37</v>
      </c>
      <c r="AX14" s="1" t="s">
        <v>37</v>
      </c>
    </row>
    <row r="15" spans="1:50" x14ac:dyDescent="0.25">
      <c r="A15" s="66">
        <v>14</v>
      </c>
      <c r="B15" s="48"/>
      <c r="C15" s="49" t="str">
        <f ca="1">IFERROR(VLOOKUP($D15,OFFSET(Roster!$AN$1,MATCH($D$19,Roster!$AN$2:$AN$963,0),1,COUNTIF(Roster!$AN$2:$AN$963,$D$19),10),2,0),"")</f>
        <v/>
      </c>
      <c r="D15" s="48"/>
      <c r="E15" s="105"/>
      <c r="F15" s="105"/>
      <c r="G15" s="105"/>
      <c r="H15" s="105"/>
      <c r="I15" s="133"/>
      <c r="J15" s="133"/>
      <c r="K15" s="133"/>
      <c r="L15" s="133"/>
      <c r="M15" s="133"/>
      <c r="N15" s="133"/>
      <c r="O15" s="133"/>
      <c r="P15" s="48"/>
      <c r="Q15" s="48"/>
      <c r="R15" s="50"/>
      <c r="S15" s="50"/>
      <c r="T15" s="50"/>
      <c r="U15" s="50"/>
      <c r="V15" s="50"/>
      <c r="W15" s="50"/>
      <c r="X15" s="50"/>
      <c r="Y15" s="49" t="str">
        <f t="shared" ca="1" si="0"/>
        <v/>
      </c>
      <c r="Z15" s="51" t="str">
        <f t="shared" ca="1" si="1"/>
        <v/>
      </c>
      <c r="AA15" s="49" t="str">
        <f ca="1">IFERROR(VLOOKUP($D15,OFFSET(Roster!$AN$1,MATCH($D$19,Roster!$AN$2:$AN$963,0),1,COUNTIF(Roster!$AN$2:$AN$963,$D$19),10),4,0),"")</f>
        <v/>
      </c>
      <c r="AB15" s="49" t="str">
        <f ca="1">IFERROR(VLOOKUP($D15,OFFSET(Roster!$AN$1,MATCH($D$19,Roster!$AN$2:$AN$963,0),1,COUNTIF(Roster!$AN$2:$AN$963,$D$19),10),5,0),"")</f>
        <v/>
      </c>
      <c r="AC15" s="49" t="str">
        <f ca="1">IFERROR(VLOOKUP($D15,OFFSET(Roster!$AN$1,MATCH($D$19,Roster!$AN$2:$AN$963,0),1,COUNTIF(Roster!$AN$2:$AN$963,$D$19),10),6,0),"")</f>
        <v/>
      </c>
      <c r="AD15" s="49" t="str">
        <f ca="1">IFERROR(VLOOKUP($D15,OFFSET(Roster!$AN$1,MATCH($D$19,Roster!$AN$2:$AN$963,0),1,COUNTIF(Roster!$AN$2:$AN$963,$D$19),10),7,0),"")</f>
        <v/>
      </c>
      <c r="AE15" s="52" t="str">
        <f ca="1">IFERROR(VLOOKUP($D15,OFFSET(Roster!$AN$1,MATCH($D$19,Roster!$AN$2:$AN$963,0),1,COUNTIF(Roster!$AN$2:$AN$963,$D$19),10),8,0),"")</f>
        <v/>
      </c>
      <c r="AF15" s="51" t="str">
        <f ca="1">IFERROR(VLOOKUP($D15,OFFSET(Roster!$AN$1,MATCH($D$19,Roster!$AN$2:$AN$963,0),1,COUNTIF(Roster!$AN$2:$AN$963,$D$19),10),3,0),"")</f>
        <v/>
      </c>
      <c r="AG15" s="78"/>
      <c r="AH15" s="79"/>
      <c r="AJ15" t="s">
        <v>886</v>
      </c>
      <c r="AK15" s="1" t="s">
        <v>81</v>
      </c>
      <c r="AL15" s="6">
        <v>50000</v>
      </c>
      <c r="AN15" s="1" t="s">
        <v>6</v>
      </c>
      <c r="AO15" s="99" t="s">
        <v>850</v>
      </c>
      <c r="AP15" s="92">
        <v>1</v>
      </c>
      <c r="AQ15" s="100">
        <v>360000</v>
      </c>
      <c r="AR15" s="92">
        <v>6</v>
      </c>
      <c r="AS15" s="92">
        <v>6</v>
      </c>
      <c r="AT15" s="92">
        <v>1</v>
      </c>
      <c r="AU15" s="92">
        <v>9</v>
      </c>
      <c r="AV15" s="99" t="s">
        <v>851</v>
      </c>
      <c r="AW15" s="1" t="s">
        <v>37</v>
      </c>
      <c r="AX15" s="1" t="s">
        <v>37</v>
      </c>
    </row>
    <row r="16" spans="1:50" x14ac:dyDescent="0.25">
      <c r="A16" s="66">
        <v>15</v>
      </c>
      <c r="B16" s="48"/>
      <c r="C16" s="49" t="str">
        <f ca="1">IFERROR(VLOOKUP($D16,OFFSET(Roster!$AN$1,MATCH($D$19,Roster!$AN$2:$AN$963,0),1,COUNTIF(Roster!$AN$2:$AN$963,$D$19),10),2,0),"")</f>
        <v/>
      </c>
      <c r="D16" s="48"/>
      <c r="E16" s="105"/>
      <c r="F16" s="105"/>
      <c r="G16" s="105"/>
      <c r="H16" s="105"/>
      <c r="I16" s="133"/>
      <c r="J16" s="133"/>
      <c r="K16" s="133"/>
      <c r="L16" s="133"/>
      <c r="M16" s="133"/>
      <c r="N16" s="133"/>
      <c r="O16" s="133"/>
      <c r="P16" s="48"/>
      <c r="Q16" s="48"/>
      <c r="R16" s="50"/>
      <c r="S16" s="50"/>
      <c r="T16" s="50"/>
      <c r="U16" s="50"/>
      <c r="V16" s="50"/>
      <c r="W16" s="50"/>
      <c r="X16" s="50"/>
      <c r="Y16" s="49" t="str">
        <f t="shared" ca="1" si="0"/>
        <v/>
      </c>
      <c r="Z16" s="51" t="str">
        <f t="shared" ca="1" si="1"/>
        <v/>
      </c>
      <c r="AA16" s="49" t="str">
        <f ca="1">IFERROR(VLOOKUP($D16,OFFSET(Roster!$AN$1,MATCH($D$19,Roster!$AN$2:$AN$963,0),1,COUNTIF(Roster!$AN$2:$AN$963,$D$19),10),4,0),"")</f>
        <v/>
      </c>
      <c r="AB16" s="49" t="str">
        <f ca="1">IFERROR(VLOOKUP($D16,OFFSET(Roster!$AN$1,MATCH($D$19,Roster!$AN$2:$AN$963,0),1,COUNTIF(Roster!$AN$2:$AN$963,$D$19),10),5,0),"")</f>
        <v/>
      </c>
      <c r="AC16" s="49" t="str">
        <f ca="1">IFERROR(VLOOKUP($D16,OFFSET(Roster!$AN$1,MATCH($D$19,Roster!$AN$2:$AN$963,0),1,COUNTIF(Roster!$AN$2:$AN$963,$D$19),10),6,0),"")</f>
        <v/>
      </c>
      <c r="AD16" s="49" t="str">
        <f ca="1">IFERROR(VLOOKUP($D16,OFFSET(Roster!$AN$1,MATCH($D$19,Roster!$AN$2:$AN$963,0),1,COUNTIF(Roster!$AN$2:$AN$963,$D$19),10),7,0),"")</f>
        <v/>
      </c>
      <c r="AE16" s="52" t="str">
        <f ca="1">IFERROR(VLOOKUP($D16,OFFSET(Roster!$AN$1,MATCH($D$19,Roster!$AN$2:$AN$963,0),1,COUNTIF(Roster!$AN$2:$AN$963,$D$19),10),8,0),"")</f>
        <v/>
      </c>
      <c r="AF16" s="51" t="str">
        <f ca="1">IFERROR(VLOOKUP($D16,OFFSET(Roster!$AN$1,MATCH($D$19,Roster!$AN$2:$AN$963,0),1,COUNTIF(Roster!$AN$2:$AN$963,$D$19),10),3,0),"")</f>
        <v/>
      </c>
      <c r="AG16" s="78"/>
      <c r="AH16" s="79"/>
      <c r="AJ16" t="s">
        <v>178</v>
      </c>
      <c r="AK16" s="1" t="s">
        <v>81</v>
      </c>
      <c r="AL16" s="6">
        <v>60000</v>
      </c>
      <c r="AN16" s="1" t="s">
        <v>6</v>
      </c>
      <c r="AO16" s="99" t="s">
        <v>867</v>
      </c>
      <c r="AP16" s="92">
        <v>1</v>
      </c>
      <c r="AQ16" s="100">
        <v>380000</v>
      </c>
      <c r="AR16" s="92">
        <v>5</v>
      </c>
      <c r="AS16" s="92">
        <v>6</v>
      </c>
      <c r="AT16" s="92">
        <v>2</v>
      </c>
      <c r="AU16" s="92">
        <v>10</v>
      </c>
      <c r="AV16" s="99" t="s">
        <v>864</v>
      </c>
      <c r="AW16" s="1" t="s">
        <v>37</v>
      </c>
      <c r="AX16" s="1" t="s">
        <v>37</v>
      </c>
    </row>
    <row r="17" spans="1:50" x14ac:dyDescent="0.25">
      <c r="A17" s="67">
        <v>16</v>
      </c>
      <c r="B17" s="53"/>
      <c r="C17" s="49" t="str">
        <f ca="1">IFERROR(VLOOKUP($D17,OFFSET(Roster!$AN$1,MATCH($D$19,Roster!$AN$2:$AN$963,0),1,COUNTIF(Roster!$AN$2:$AN$963,$D$19),10),2,0),"")</f>
        <v/>
      </c>
      <c r="D17" s="48"/>
      <c r="E17" s="105"/>
      <c r="F17" s="105"/>
      <c r="G17" s="105"/>
      <c r="H17" s="105"/>
      <c r="I17" s="133"/>
      <c r="J17" s="133"/>
      <c r="K17" s="133"/>
      <c r="L17" s="133"/>
      <c r="M17" s="133"/>
      <c r="N17" s="133"/>
      <c r="O17" s="133"/>
      <c r="P17" s="48"/>
      <c r="Q17" s="53"/>
      <c r="R17" s="50"/>
      <c r="S17" s="50"/>
      <c r="T17" s="50"/>
      <c r="U17" s="50"/>
      <c r="V17" s="50"/>
      <c r="W17" s="50"/>
      <c r="X17" s="50"/>
      <c r="Y17" s="49" t="str">
        <f t="shared" ca="1" si="0"/>
        <v/>
      </c>
      <c r="Z17" s="51" t="str">
        <f t="shared" ca="1" si="1"/>
        <v/>
      </c>
      <c r="AA17" s="49" t="str">
        <f ca="1">IFERROR(VLOOKUP($D17,OFFSET(Roster!$AN$1,MATCH($D$19,Roster!$AN$2:$AN$963,0),1,COUNTIF(Roster!$AN$2:$AN$963,$D$19),10),4,0),"")</f>
        <v/>
      </c>
      <c r="AB17" s="49" t="str">
        <f ca="1">IFERROR(VLOOKUP($D17,OFFSET(Roster!$AN$1,MATCH($D$19,Roster!$AN$2:$AN$963,0),1,COUNTIF(Roster!$AN$2:$AN$963,$D$19),10),5,0),"")</f>
        <v/>
      </c>
      <c r="AC17" s="49" t="str">
        <f ca="1">IFERROR(VLOOKUP($D17,OFFSET(Roster!$AN$1,MATCH($D$19,Roster!$AN$2:$AN$963,0),1,COUNTIF(Roster!$AN$2:$AN$963,$D$19),10),6,0),"")</f>
        <v/>
      </c>
      <c r="AD17" s="49" t="str">
        <f ca="1">IFERROR(VLOOKUP($D17,OFFSET(Roster!$AN$1,MATCH($D$19,Roster!$AN$2:$AN$963,0),1,COUNTIF(Roster!$AN$2:$AN$963,$D$19),10),7,0),"")</f>
        <v/>
      </c>
      <c r="AE17" s="52" t="str">
        <f ca="1">IFERROR(VLOOKUP($D17,OFFSET(Roster!$AN$1,MATCH($D$19,Roster!$AN$2:$AN$963,0),1,COUNTIF(Roster!$AN$2:$AN$963,$D$19),10),8,0),"")</f>
        <v/>
      </c>
      <c r="AF17" s="51" t="str">
        <f ca="1">IFERROR(VLOOKUP($D17,OFFSET(Roster!$AN$1,MATCH($D$19,Roster!$AN$2:$AN$963,0),1,COUNTIF(Roster!$AN$2:$AN$963,$D$19),10),3,0),"")</f>
        <v/>
      </c>
      <c r="AG17" s="78"/>
      <c r="AH17" s="79"/>
      <c r="AJ17" t="s">
        <v>184</v>
      </c>
      <c r="AK17" s="1" t="s">
        <v>81</v>
      </c>
      <c r="AL17" s="6">
        <v>60000</v>
      </c>
      <c r="AN17" s="1" t="s">
        <v>6</v>
      </c>
      <c r="AO17" s="99" t="s">
        <v>877</v>
      </c>
      <c r="AP17" s="92">
        <v>16</v>
      </c>
      <c r="AQ17" s="100">
        <v>400000</v>
      </c>
      <c r="AR17" s="92">
        <v>6</v>
      </c>
      <c r="AS17" s="92">
        <v>7</v>
      </c>
      <c r="AT17" s="92">
        <v>2</v>
      </c>
      <c r="AU17" s="92">
        <v>10</v>
      </c>
      <c r="AV17" s="99" t="s">
        <v>878</v>
      </c>
      <c r="AW17" s="1" t="s">
        <v>37</v>
      </c>
      <c r="AX17" s="1" t="s">
        <v>37</v>
      </c>
    </row>
    <row r="18" spans="1:50" x14ac:dyDescent="0.25">
      <c r="A18" s="109" t="str">
        <f>IF($D$24="English","TEAM NAME","NOMBRE DE EQUIPO")</f>
        <v>NOMBRE DE EQUIPO</v>
      </c>
      <c r="B18" s="110"/>
      <c r="C18" s="111"/>
      <c r="D18" s="143" t="s">
        <v>715</v>
      </c>
      <c r="E18" s="144"/>
      <c r="F18" s="145"/>
      <c r="G18" s="130" t="str">
        <f>IF($D$24="English","BABES","NENITAS")</f>
        <v>NENITAS</v>
      </c>
      <c r="H18" s="130"/>
      <c r="I18" s="130"/>
      <c r="J18" s="54">
        <v>0</v>
      </c>
      <c r="K18" s="68" t="s">
        <v>79</v>
      </c>
      <c r="L18" s="55">
        <v>50000</v>
      </c>
      <c r="M18" s="69" t="s">
        <v>80</v>
      </c>
      <c r="N18" s="55">
        <f t="shared" ref="N18:N25" si="2">J18*L18</f>
        <v>0</v>
      </c>
      <c r="O18" s="130" t="str">
        <f>IF($D$24="English","RE-ROLLS","2ª OPORTUNIDADES")</f>
        <v>2ª OPORTUNIDADES</v>
      </c>
      <c r="P18" s="130"/>
      <c r="Q18" s="130"/>
      <c r="R18" s="130"/>
      <c r="S18" s="130"/>
      <c r="T18" s="130"/>
      <c r="U18" s="54">
        <v>0</v>
      </c>
      <c r="V18" s="68" t="s">
        <v>79</v>
      </c>
      <c r="W18" s="128">
        <f>IFERROR(VLOOKUP($D$19,Roster!$AJ$6:$AL$61,3,0),0)</f>
        <v>0</v>
      </c>
      <c r="X18" s="128"/>
      <c r="Y18" s="69" t="s">
        <v>80</v>
      </c>
      <c r="Z18" s="55">
        <f t="shared" ref="Z18:Z23" si="3">U18*W18</f>
        <v>0</v>
      </c>
      <c r="AA18" s="77"/>
      <c r="AD18" s="77"/>
      <c r="AE18" s="70"/>
      <c r="AF18" s="70"/>
      <c r="AG18" s="70"/>
      <c r="AH18" s="70"/>
      <c r="AJ18" t="s">
        <v>664</v>
      </c>
      <c r="AK18" s="1" t="s">
        <v>81</v>
      </c>
      <c r="AL18" s="6">
        <v>50000</v>
      </c>
      <c r="AN18" s="1" t="s">
        <v>6</v>
      </c>
      <c r="AO18" s="5" t="s">
        <v>35</v>
      </c>
      <c r="AP18" s="1">
        <v>1</v>
      </c>
      <c r="AQ18" s="2">
        <v>430000</v>
      </c>
      <c r="AR18" s="1">
        <v>6</v>
      </c>
      <c r="AS18" s="1">
        <v>6</v>
      </c>
      <c r="AT18" s="1">
        <v>3</v>
      </c>
      <c r="AU18" s="1">
        <v>10</v>
      </c>
      <c r="AV18" s="5" t="s">
        <v>151</v>
      </c>
      <c r="AW18" s="1" t="s">
        <v>37</v>
      </c>
      <c r="AX18" s="1" t="s">
        <v>37</v>
      </c>
    </row>
    <row r="19" spans="1:50" x14ac:dyDescent="0.25">
      <c r="A19" s="109" t="str">
        <f>IF($D$24="English","RACE","RAZA")</f>
        <v>RAZA</v>
      </c>
      <c r="B19" s="110"/>
      <c r="C19" s="111"/>
      <c r="D19" s="114"/>
      <c r="E19" s="114"/>
      <c r="F19" s="114"/>
      <c r="G19" s="130" t="str">
        <f>IF($D$24="English","BRIBES","SOBORNOS")</f>
        <v>SOBORNOS</v>
      </c>
      <c r="H19" s="130"/>
      <c r="I19" s="130"/>
      <c r="J19" s="54">
        <v>0</v>
      </c>
      <c r="K19" s="68" t="s">
        <v>79</v>
      </c>
      <c r="L19" s="55">
        <f>IF(OR($D$19="Goblin",$D$19="Goblin "),50000,100000)</f>
        <v>100000</v>
      </c>
      <c r="M19" s="69" t="s">
        <v>80</v>
      </c>
      <c r="N19" s="55">
        <f t="shared" si="2"/>
        <v>0</v>
      </c>
      <c r="O19" s="130" t="str">
        <f>IF($D$24="English","FAN FACTOR","FACTOR DE HINCHAS")</f>
        <v>FACTOR DE HINCHAS</v>
      </c>
      <c r="P19" s="130"/>
      <c r="Q19" s="130"/>
      <c r="R19" s="130"/>
      <c r="S19" s="130"/>
      <c r="T19" s="130"/>
      <c r="U19" s="54">
        <v>0</v>
      </c>
      <c r="V19" s="68" t="s">
        <v>79</v>
      </c>
      <c r="W19" s="128">
        <v>10000</v>
      </c>
      <c r="X19" s="128"/>
      <c r="Y19" s="69" t="s">
        <v>80</v>
      </c>
      <c r="Z19" s="55">
        <f t="shared" si="3"/>
        <v>0</v>
      </c>
      <c r="AA19" s="77"/>
      <c r="AD19" s="77"/>
      <c r="AE19" s="70" t="s">
        <v>647</v>
      </c>
      <c r="AF19" s="70"/>
      <c r="AG19" s="70"/>
      <c r="AH19" s="70"/>
      <c r="AJ19" t="s">
        <v>256</v>
      </c>
      <c r="AK19" s="1" t="s">
        <v>81</v>
      </c>
      <c r="AL19" s="6">
        <v>50000</v>
      </c>
      <c r="AN19" s="1" t="s">
        <v>274</v>
      </c>
      <c r="AO19" s="5"/>
      <c r="AP19" s="1"/>
      <c r="AQ19" s="2"/>
      <c r="AR19" s="1"/>
      <c r="AS19" s="1"/>
      <c r="AT19" s="1"/>
      <c r="AU19" s="1"/>
      <c r="AV19" s="5"/>
      <c r="AW19" s="1"/>
      <c r="AX19" s="1"/>
    </row>
    <row r="20" spans="1:50" x14ac:dyDescent="0.25">
      <c r="A20" s="109" t="str">
        <f>IF($D$24="English","TEAM VALUE","VALOR DE EQUIPO")</f>
        <v>VALOR DE EQUIPO</v>
      </c>
      <c r="B20" s="110"/>
      <c r="C20" s="111"/>
      <c r="D20" s="142">
        <f ca="1">SUM(N18:N26)+SUM(Z2:Z26)-IF(P2&lt;&gt;"",Z2,0)-IF(P3&lt;&gt;"",Z3,0)-IF(P4&lt;&gt;"",Z4,0)-IF(P5&lt;&gt;"",Z5,0)-IF(P6&lt;&gt;"",Z6,0)-IF(P7&lt;&gt;"",Z7,0)-IF(P8&lt;&gt;"",Z8,0)-IF(P9&lt;&gt;"",Z9,0)-IF(P10&lt;&gt;"",Z10,0)-IF(P11&lt;&gt;"",Z11,0)-IF(P12&lt;&gt;"",Z12,0)-IF(P13&lt;&gt;"",Z13,0)-IF(P14&lt;&gt;"",Z14,0)-IF(P15&lt;&gt;"",Z15,0)-IF(P16&lt;&gt;"",Z16,0)-IF(P17&lt;&gt;"",Z17,0)</f>
        <v>0</v>
      </c>
      <c r="E20" s="142"/>
      <c r="F20" s="142"/>
      <c r="G20" s="130" t="str">
        <f>IF($D$24="English","EXTRA TRAINING","2ª OP. ADICIONAL")</f>
        <v>2ª OP. ADICIONAL</v>
      </c>
      <c r="H20" s="130"/>
      <c r="I20" s="130"/>
      <c r="J20" s="54">
        <v>0</v>
      </c>
      <c r="K20" s="68" t="s">
        <v>79</v>
      </c>
      <c r="L20" s="55">
        <v>100000</v>
      </c>
      <c r="M20" s="69" t="s">
        <v>80</v>
      </c>
      <c r="N20" s="55">
        <f t="shared" si="2"/>
        <v>0</v>
      </c>
      <c r="O20" s="130" t="str">
        <f>IF($D$24="English","ASSISTANT COACHES","AYUDANTES ENTRENADOR")</f>
        <v>AYUDANTES ENTRENADOR</v>
      </c>
      <c r="P20" s="130"/>
      <c r="Q20" s="130"/>
      <c r="R20" s="130"/>
      <c r="S20" s="130"/>
      <c r="T20" s="130"/>
      <c r="U20" s="54">
        <v>0</v>
      </c>
      <c r="V20" s="68" t="s">
        <v>79</v>
      </c>
      <c r="W20" s="128">
        <v>10000</v>
      </c>
      <c r="X20" s="128"/>
      <c r="Y20" s="69" t="s">
        <v>80</v>
      </c>
      <c r="Z20" s="55">
        <f t="shared" si="3"/>
        <v>0</v>
      </c>
      <c r="AA20" s="77"/>
      <c r="AD20" s="77"/>
      <c r="AE20" s="70"/>
      <c r="AF20" s="70"/>
      <c r="AG20" s="70"/>
      <c r="AH20" s="70"/>
      <c r="AJ20" s="5" t="s">
        <v>887</v>
      </c>
      <c r="AK20" s="1" t="s">
        <v>647</v>
      </c>
      <c r="AL20" s="6">
        <v>70000</v>
      </c>
      <c r="AN20" s="1" t="s">
        <v>274</v>
      </c>
      <c r="AO20" s="5" t="s">
        <v>70</v>
      </c>
      <c r="AP20" s="1">
        <v>16</v>
      </c>
      <c r="AQ20" s="2">
        <v>40000</v>
      </c>
      <c r="AR20" s="1">
        <v>6</v>
      </c>
      <c r="AS20" s="1">
        <v>3</v>
      </c>
      <c r="AT20" s="1">
        <v>2</v>
      </c>
      <c r="AU20" s="1">
        <v>7</v>
      </c>
      <c r="AV20" s="5" t="s">
        <v>275</v>
      </c>
      <c r="AW20" s="1" t="s">
        <v>22</v>
      </c>
      <c r="AX20" s="1" t="s">
        <v>26</v>
      </c>
    </row>
    <row r="21" spans="1:50" x14ac:dyDescent="0.25">
      <c r="A21" s="109" t="str">
        <f>IF($D$24="English","TREASURY","TESORERÍA")</f>
        <v>TESORERÍA</v>
      </c>
      <c r="B21" s="110"/>
      <c r="C21" s="111"/>
      <c r="D21" s="141">
        <v>0</v>
      </c>
      <c r="E21" s="141"/>
      <c r="F21" s="141"/>
      <c r="G21" s="130" t="s">
        <v>651</v>
      </c>
      <c r="H21" s="130"/>
      <c r="I21" s="130"/>
      <c r="J21" s="54">
        <v>0</v>
      </c>
      <c r="K21" s="68" t="s">
        <v>79</v>
      </c>
      <c r="L21" s="55">
        <f>IF(OR($D$19="Halfling",$D$19="Halfling "),100000,300000)</f>
        <v>300000</v>
      </c>
      <c r="M21" s="69" t="s">
        <v>80</v>
      </c>
      <c r="N21" s="55">
        <f t="shared" si="2"/>
        <v>0</v>
      </c>
      <c r="O21" s="130" t="str">
        <f>IF($D$24="English","CHEERLEADERS","ANIMADORAS")</f>
        <v>ANIMADORAS</v>
      </c>
      <c r="P21" s="130"/>
      <c r="Q21" s="130"/>
      <c r="R21" s="130"/>
      <c r="S21" s="130"/>
      <c r="T21" s="130"/>
      <c r="U21" s="54">
        <v>0</v>
      </c>
      <c r="V21" s="68" t="s">
        <v>79</v>
      </c>
      <c r="W21" s="128">
        <v>10000</v>
      </c>
      <c r="X21" s="128"/>
      <c r="Y21" s="69" t="s">
        <v>80</v>
      </c>
      <c r="Z21" s="55">
        <f t="shared" si="3"/>
        <v>0</v>
      </c>
      <c r="AA21" s="77"/>
      <c r="AD21" s="77"/>
      <c r="AE21" s="70"/>
      <c r="AF21" s="70"/>
      <c r="AG21" s="70"/>
      <c r="AH21" s="70"/>
      <c r="AJ21" t="s">
        <v>258</v>
      </c>
      <c r="AK21" s="1" t="s">
        <v>81</v>
      </c>
      <c r="AL21" s="6">
        <v>60000</v>
      </c>
      <c r="AN21" s="1" t="s">
        <v>274</v>
      </c>
      <c r="AO21" s="5" t="s">
        <v>276</v>
      </c>
      <c r="AP21" s="1">
        <v>4</v>
      </c>
      <c r="AQ21" s="2">
        <v>70000</v>
      </c>
      <c r="AR21" s="1">
        <v>6</v>
      </c>
      <c r="AS21" s="1">
        <v>3</v>
      </c>
      <c r="AT21" s="1">
        <v>3</v>
      </c>
      <c r="AU21" s="1">
        <v>8</v>
      </c>
      <c r="AV21" s="5" t="s">
        <v>277</v>
      </c>
      <c r="AW21" s="1" t="s">
        <v>25</v>
      </c>
      <c r="AX21" s="1" t="s">
        <v>29</v>
      </c>
    </row>
    <row r="22" spans="1:50" x14ac:dyDescent="0.25">
      <c r="A22" s="109" t="str">
        <f>IF($D$24="English","HEAD COACH","ENTRENADOR")</f>
        <v>ENTRENADOR</v>
      </c>
      <c r="B22" s="110"/>
      <c r="C22" s="111"/>
      <c r="D22" s="114" t="s">
        <v>716</v>
      </c>
      <c r="E22" s="114"/>
      <c r="F22" s="114"/>
      <c r="G22" s="132" t="str">
        <f>IF($D$24="English","WEATHER MAGE","MAGO CLIMATOLÓGICO")</f>
        <v>MAGO CLIMATOLÓGICO</v>
      </c>
      <c r="H22" s="132"/>
      <c r="I22" s="132"/>
      <c r="J22" s="54">
        <v>0</v>
      </c>
      <c r="K22" s="68" t="s">
        <v>79</v>
      </c>
      <c r="L22" s="55">
        <v>30000</v>
      </c>
      <c r="M22" s="69" t="s">
        <v>80</v>
      </c>
      <c r="N22" s="55">
        <f t="shared" si="2"/>
        <v>0</v>
      </c>
      <c r="O22" s="130" t="str">
        <f>IFERROR(VLOOKUP($D$19,Roster!$AJ$6:$AL$61,2,0),IF($D$24="English","APOTHECARY","MÉDICO"))</f>
        <v>MÉDICO</v>
      </c>
      <c r="P22" s="130"/>
      <c r="Q22" s="130"/>
      <c r="R22" s="130"/>
      <c r="S22" s="130"/>
      <c r="T22" s="130"/>
      <c r="U22" s="54">
        <v>0</v>
      </c>
      <c r="V22" s="68" t="s">
        <v>79</v>
      </c>
      <c r="W22" s="128">
        <f>IF(OR(O22="APOTHECARY",O22="MÉDICO"),50000,0)</f>
        <v>50000</v>
      </c>
      <c r="X22" s="128"/>
      <c r="Y22" s="69" t="s">
        <v>80</v>
      </c>
      <c r="Z22" s="55">
        <f t="shared" si="3"/>
        <v>0</v>
      </c>
      <c r="AA22" s="77"/>
      <c r="AD22" s="77"/>
      <c r="AE22" s="70"/>
      <c r="AF22" s="70"/>
      <c r="AG22" s="70"/>
      <c r="AH22" s="70"/>
      <c r="AJ22" t="s">
        <v>260</v>
      </c>
      <c r="AK22" s="1" t="s">
        <v>648</v>
      </c>
      <c r="AL22" s="6">
        <v>70000</v>
      </c>
      <c r="AN22" s="1" t="s">
        <v>274</v>
      </c>
      <c r="AO22" s="5" t="s">
        <v>5</v>
      </c>
      <c r="AP22" s="1">
        <v>4</v>
      </c>
      <c r="AQ22" s="2">
        <v>110000</v>
      </c>
      <c r="AR22" s="1">
        <v>7</v>
      </c>
      <c r="AS22" s="1">
        <v>3</v>
      </c>
      <c r="AT22" s="1">
        <v>3</v>
      </c>
      <c r="AU22" s="1">
        <v>8</v>
      </c>
      <c r="AV22" s="5" t="s">
        <v>278</v>
      </c>
      <c r="AW22" s="1" t="s">
        <v>45</v>
      </c>
      <c r="AX22" s="1" t="s">
        <v>61</v>
      </c>
    </row>
    <row r="23" spans="1:50" x14ac:dyDescent="0.25">
      <c r="A23" s="109" t="str">
        <f>IF($D$24="English","LEAGUE/ TOURNAMENT","LIGA/ TORNEO")</f>
        <v>LIGA/ TORNEO</v>
      </c>
      <c r="B23" s="110"/>
      <c r="C23" s="111"/>
      <c r="D23" s="114" t="s">
        <v>717</v>
      </c>
      <c r="E23" s="114"/>
      <c r="F23" s="114"/>
      <c r="G23" s="129" t="s">
        <v>681</v>
      </c>
      <c r="H23" s="129"/>
      <c r="I23" s="129"/>
      <c r="J23" s="54">
        <v>0</v>
      </c>
      <c r="K23" s="68" t="s">
        <v>79</v>
      </c>
      <c r="L23" s="55">
        <f>IFERROR(IF(D24="English",VLOOKUP(G23,Roster!$AK$78:$AL$84,2,0),VLOOKUP(G23,Roster!$AK$86:$AL$92,2,0)),0)</f>
        <v>0</v>
      </c>
      <c r="M23" s="69" t="s">
        <v>80</v>
      </c>
      <c r="N23" s="55">
        <f t="shared" si="2"/>
        <v>0</v>
      </c>
      <c r="O23" s="131" t="s">
        <v>685</v>
      </c>
      <c r="P23" s="131"/>
      <c r="Q23" s="131"/>
      <c r="R23" s="131"/>
      <c r="S23" s="131"/>
      <c r="T23" s="131"/>
      <c r="U23" s="54">
        <v>0</v>
      </c>
      <c r="V23" s="68" t="s">
        <v>79</v>
      </c>
      <c r="W23" s="128">
        <f>IFERROR(IF(D24="English",VLOOKUP(O23,Roster!$AK$65:$AL$69,2,0),VLOOKUP(O23,Roster!$AK$71:$AL$75,2,0)),0)</f>
        <v>0</v>
      </c>
      <c r="X23" s="128"/>
      <c r="Y23" s="69" t="s">
        <v>80</v>
      </c>
      <c r="Z23" s="55">
        <f t="shared" si="3"/>
        <v>0</v>
      </c>
      <c r="AA23" s="77"/>
      <c r="AD23" s="77"/>
      <c r="AE23" s="70"/>
      <c r="AF23" s="70"/>
      <c r="AG23" s="70"/>
      <c r="AH23" s="70"/>
      <c r="AJ23" t="s">
        <v>263</v>
      </c>
      <c r="AK23" s="1" t="s">
        <v>81</v>
      </c>
      <c r="AL23" s="6">
        <v>60000</v>
      </c>
      <c r="AN23" s="1" t="s">
        <v>274</v>
      </c>
      <c r="AO23" s="5" t="s">
        <v>46</v>
      </c>
      <c r="AP23" s="1">
        <v>11</v>
      </c>
      <c r="AQ23" s="2">
        <v>40000</v>
      </c>
      <c r="AR23" s="1">
        <v>6</v>
      </c>
      <c r="AS23" s="1">
        <v>3</v>
      </c>
      <c r="AT23" s="1">
        <v>2</v>
      </c>
      <c r="AU23" s="1">
        <v>7</v>
      </c>
      <c r="AV23" s="5" t="s">
        <v>279</v>
      </c>
      <c r="AW23" s="1" t="s">
        <v>22</v>
      </c>
      <c r="AX23" s="1" t="s">
        <v>26</v>
      </c>
    </row>
    <row r="24" spans="1:50" x14ac:dyDescent="0.25">
      <c r="A24" s="109" t="str">
        <f>IF($D$24="English","LANGUAGE","IDIOMA")</f>
        <v>IDIOMA</v>
      </c>
      <c r="B24" s="110"/>
      <c r="C24" s="111"/>
      <c r="D24" s="114" t="s">
        <v>1</v>
      </c>
      <c r="E24" s="114"/>
      <c r="F24" s="114"/>
      <c r="G24" s="132" t="str">
        <f>IF($D$24="English","SPECIALIST COACHES","AYUDANTES ESPECIALES")</f>
        <v>AYUDANTES ESPECIALES</v>
      </c>
      <c r="H24" s="132"/>
      <c r="I24" s="132"/>
      <c r="J24" s="54">
        <v>0</v>
      </c>
      <c r="K24" s="68" t="s">
        <v>79</v>
      </c>
      <c r="L24" s="55">
        <v>20000</v>
      </c>
      <c r="M24" s="69" t="s">
        <v>80</v>
      </c>
      <c r="N24" s="55">
        <f t="shared" si="2"/>
        <v>0</v>
      </c>
      <c r="O24" s="130" t="str">
        <f>IFERROR(VLOOKUP($D$19,Roster!$AJ$95:$AL$150,2,0),"")</f>
        <v/>
      </c>
      <c r="P24" s="130"/>
      <c r="Q24" s="130"/>
      <c r="R24" s="130"/>
      <c r="S24" s="130"/>
      <c r="T24" s="130"/>
      <c r="U24" s="54">
        <v>0</v>
      </c>
      <c r="V24" s="68" t="s">
        <v>79</v>
      </c>
      <c r="W24" s="128">
        <f>IFERROR(VLOOKUP($D$19,Roster!$AJ$95:$AL$150,3,0),0)</f>
        <v>0</v>
      </c>
      <c r="X24" s="128"/>
      <c r="Y24" s="69" t="s">
        <v>80</v>
      </c>
      <c r="Z24" s="55">
        <f t="shared" ref="Z24" si="4">U24*W24</f>
        <v>0</v>
      </c>
      <c r="AA24" s="77"/>
      <c r="AB24" s="77"/>
      <c r="AC24" s="77"/>
      <c r="AD24" s="77"/>
      <c r="AE24" s="70"/>
      <c r="AF24" s="70"/>
      <c r="AG24" s="70"/>
      <c r="AH24" s="70"/>
      <c r="AJ24" t="s">
        <v>265</v>
      </c>
      <c r="AK24" s="1" t="s">
        <v>647</v>
      </c>
      <c r="AL24" s="6">
        <v>70000</v>
      </c>
      <c r="AN24" s="1" t="s">
        <v>274</v>
      </c>
      <c r="AO24" s="5" t="s">
        <v>100</v>
      </c>
      <c r="AP24" s="1">
        <v>1</v>
      </c>
      <c r="AQ24" s="2">
        <v>150000</v>
      </c>
      <c r="AR24" s="1">
        <v>7</v>
      </c>
      <c r="AS24" s="1">
        <v>3</v>
      </c>
      <c r="AT24" s="1">
        <v>4</v>
      </c>
      <c r="AU24" s="1">
        <v>7</v>
      </c>
      <c r="AV24" s="5" t="s">
        <v>101</v>
      </c>
      <c r="AW24" s="1" t="s">
        <v>37</v>
      </c>
      <c r="AX24" s="1" t="s">
        <v>37</v>
      </c>
    </row>
    <row r="25" spans="1:50" x14ac:dyDescent="0.25">
      <c r="A25" s="160" t="str">
        <f>IF($D$24="English","BBRoster v7.16 created by Dark Duke","BBRoster v7.16 creado por Dark Duke")</f>
        <v>BBRoster v7.16 creado por Dark Duke</v>
      </c>
      <c r="B25" s="160"/>
      <c r="C25" s="160"/>
      <c r="D25" s="160"/>
      <c r="E25" s="160"/>
      <c r="F25" s="160"/>
      <c r="G25" s="111" t="str">
        <f>IF($D$24="English","TEMP. CHEERLEADERS","ANIMADORAS TEMP.")</f>
        <v>ANIMADORAS TEMP.</v>
      </c>
      <c r="H25" s="130"/>
      <c r="I25" s="130"/>
      <c r="J25" s="54">
        <v>0</v>
      </c>
      <c r="K25" s="68" t="s">
        <v>79</v>
      </c>
      <c r="L25" s="55">
        <v>20000</v>
      </c>
      <c r="M25" s="69" t="s">
        <v>80</v>
      </c>
      <c r="N25" s="55">
        <f t="shared" si="2"/>
        <v>0</v>
      </c>
      <c r="O25" s="130" t="str">
        <f>IFERROR(VLOOKUP($D$19,Roster!$AJ$153:$AL$208,2,0),"")</f>
        <v/>
      </c>
      <c r="P25" s="130"/>
      <c r="Q25" s="130"/>
      <c r="R25" s="130"/>
      <c r="S25" s="130"/>
      <c r="T25" s="130"/>
      <c r="U25" s="54">
        <v>0</v>
      </c>
      <c r="V25" s="68" t="s">
        <v>79</v>
      </c>
      <c r="W25" s="128">
        <f>IFERROR(VLOOKUP($D$19,Roster!$AJ$153:$AL$208,3,0),0)</f>
        <v>0</v>
      </c>
      <c r="X25" s="128"/>
      <c r="Y25" s="69" t="s">
        <v>80</v>
      </c>
      <c r="Z25" s="55">
        <f t="shared" ref="Z25" si="5">U25*W25</f>
        <v>0</v>
      </c>
      <c r="AA25" s="77"/>
      <c r="AB25" s="77"/>
      <c r="AC25" s="77"/>
      <c r="AD25" s="77"/>
      <c r="AE25" s="70"/>
      <c r="AF25" s="70"/>
      <c r="AG25" s="70"/>
      <c r="AH25" s="70"/>
      <c r="AJ25" t="s">
        <v>185</v>
      </c>
      <c r="AK25" s="1" t="s">
        <v>81</v>
      </c>
      <c r="AL25" s="6">
        <v>70000</v>
      </c>
      <c r="AN25" s="1" t="s">
        <v>274</v>
      </c>
      <c r="AO25" s="5" t="s">
        <v>31</v>
      </c>
      <c r="AP25" s="1">
        <v>1</v>
      </c>
      <c r="AQ25" s="2">
        <v>150000</v>
      </c>
      <c r="AR25" s="1">
        <v>5</v>
      </c>
      <c r="AS25" s="1">
        <v>4</v>
      </c>
      <c r="AT25" s="1">
        <v>3</v>
      </c>
      <c r="AU25" s="1">
        <v>8</v>
      </c>
      <c r="AV25" s="5" t="s">
        <v>167</v>
      </c>
      <c r="AW25" s="1" t="s">
        <v>37</v>
      </c>
      <c r="AX25" s="1" t="s">
        <v>37</v>
      </c>
    </row>
    <row r="26" spans="1:50" x14ac:dyDescent="0.25">
      <c r="A26" s="160"/>
      <c r="B26" s="160"/>
      <c r="C26" s="160"/>
      <c r="D26" s="160"/>
      <c r="E26" s="160"/>
      <c r="F26" s="160"/>
      <c r="G26" s="111"/>
      <c r="H26" s="130"/>
      <c r="I26" s="130"/>
      <c r="J26" s="54">
        <v>0</v>
      </c>
      <c r="K26" s="68" t="s">
        <v>79</v>
      </c>
      <c r="L26" s="55"/>
      <c r="M26" s="69" t="s">
        <v>80</v>
      </c>
      <c r="N26" s="55">
        <f t="shared" ref="N26" si="6">J26*L26</f>
        <v>0</v>
      </c>
      <c r="O26" s="130" t="str">
        <f>IFERROR(VLOOKUP($D$19,Roster!$AJ$211:$AL$266,2,0),"")</f>
        <v/>
      </c>
      <c r="P26" s="130"/>
      <c r="Q26" s="130"/>
      <c r="R26" s="130"/>
      <c r="S26" s="130"/>
      <c r="T26" s="130"/>
      <c r="U26" s="54">
        <v>0</v>
      </c>
      <c r="V26" s="68" t="s">
        <v>79</v>
      </c>
      <c r="W26" s="128">
        <f>IFERROR(VLOOKUP($D$19,Roster!$AJ$211:$AL$266,3,0),0)</f>
        <v>0</v>
      </c>
      <c r="X26" s="128"/>
      <c r="Y26" s="69" t="s">
        <v>80</v>
      </c>
      <c r="Z26" s="55">
        <f t="shared" ref="Z26" si="7">U26*W26</f>
        <v>0</v>
      </c>
      <c r="AA26" s="72"/>
      <c r="AB26" s="72"/>
      <c r="AC26" s="72"/>
      <c r="AD26" s="72"/>
      <c r="AE26" s="70"/>
      <c r="AF26" s="70"/>
      <c r="AG26" s="70"/>
      <c r="AH26" s="70"/>
      <c r="AJ26" t="s">
        <v>266</v>
      </c>
      <c r="AK26" s="1" t="s">
        <v>81</v>
      </c>
      <c r="AL26" s="6">
        <v>60000</v>
      </c>
      <c r="AN26" s="1" t="s">
        <v>274</v>
      </c>
      <c r="AO26" s="5" t="s">
        <v>355</v>
      </c>
      <c r="AP26" s="1">
        <v>1</v>
      </c>
      <c r="AQ26" s="2">
        <v>160000</v>
      </c>
      <c r="AR26" s="1">
        <v>8</v>
      </c>
      <c r="AS26" s="1">
        <v>3</v>
      </c>
      <c r="AT26" s="1">
        <v>4</v>
      </c>
      <c r="AU26" s="1">
        <v>7</v>
      </c>
      <c r="AV26" s="5" t="s">
        <v>171</v>
      </c>
      <c r="AW26" s="1" t="s">
        <v>37</v>
      </c>
      <c r="AX26" s="1" t="s">
        <v>37</v>
      </c>
    </row>
    <row r="27" spans="1:50" x14ac:dyDescent="0.25">
      <c r="A27" s="73"/>
      <c r="Z27" s="73"/>
      <c r="AA27" s="73"/>
      <c r="AB27" s="73"/>
      <c r="AC27" s="73"/>
      <c r="AD27" s="73"/>
      <c r="AE27" s="70"/>
      <c r="AF27" s="70"/>
      <c r="AG27" s="70"/>
      <c r="AH27" s="70"/>
      <c r="AJ27" t="s">
        <v>343</v>
      </c>
      <c r="AK27" s="1" t="s">
        <v>81</v>
      </c>
      <c r="AL27" s="6">
        <v>60000</v>
      </c>
      <c r="AN27" s="1" t="s">
        <v>274</v>
      </c>
      <c r="AO27" s="5" t="s">
        <v>125</v>
      </c>
      <c r="AP27" s="1">
        <v>1</v>
      </c>
      <c r="AQ27" s="2">
        <v>220000</v>
      </c>
      <c r="AR27" s="1">
        <v>6</v>
      </c>
      <c r="AS27" s="1">
        <v>4</v>
      </c>
      <c r="AT27" s="1">
        <v>3</v>
      </c>
      <c r="AU27" s="1">
        <v>8</v>
      </c>
      <c r="AV27" s="5" t="s">
        <v>169</v>
      </c>
      <c r="AW27" s="1" t="s">
        <v>37</v>
      </c>
      <c r="AX27" s="1" t="s">
        <v>37</v>
      </c>
    </row>
    <row r="28" spans="1:50" x14ac:dyDescent="0.25">
      <c r="A28" s="73"/>
      <c r="B28" s="118" t="str">
        <f>IF($D$24="English","HALL OF FAME","SALÓN DE LA FAMA")</f>
        <v>SALÓN DE LA FAMA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73"/>
      <c r="Q28" s="73"/>
      <c r="R28" s="118" t="str">
        <f>IF($D$24="English","STATISTICS","ESTADÍSTICAS")</f>
        <v>ESTADÍSTICAS</v>
      </c>
      <c r="S28" s="118"/>
      <c r="T28" s="118"/>
      <c r="U28" s="118"/>
      <c r="V28" s="118"/>
      <c r="W28" s="118"/>
      <c r="X28" s="56" t="s">
        <v>82</v>
      </c>
      <c r="Y28" s="56" t="str">
        <f>IF($D$24="English","Avg","Med")</f>
        <v>Med</v>
      </c>
      <c r="Z28" s="73"/>
      <c r="AA28" s="73"/>
      <c r="AB28" s="73"/>
      <c r="AC28" s="73"/>
      <c r="AD28" s="73"/>
      <c r="AE28" s="70"/>
      <c r="AF28" s="70"/>
      <c r="AG28" s="70"/>
      <c r="AH28" s="70"/>
      <c r="AJ28" t="s">
        <v>272</v>
      </c>
      <c r="AK28" s="1" t="s">
        <v>81</v>
      </c>
      <c r="AL28" s="6">
        <v>50000</v>
      </c>
      <c r="AN28" s="1" t="s">
        <v>274</v>
      </c>
      <c r="AO28" s="5" t="s">
        <v>116</v>
      </c>
      <c r="AP28" s="1">
        <v>1</v>
      </c>
      <c r="AQ28" s="2">
        <v>260000</v>
      </c>
      <c r="AR28" s="1">
        <v>4</v>
      </c>
      <c r="AS28" s="1">
        <v>5</v>
      </c>
      <c r="AT28" s="1">
        <v>2</v>
      </c>
      <c r="AU28" s="1">
        <v>9</v>
      </c>
      <c r="AV28" s="5" t="s">
        <v>150</v>
      </c>
      <c r="AW28" s="1" t="s">
        <v>37</v>
      </c>
      <c r="AX28" s="1" t="s">
        <v>37</v>
      </c>
    </row>
    <row r="29" spans="1:50" x14ac:dyDescent="0.25">
      <c r="A29" s="73"/>
      <c r="B29" s="138" t="str">
        <f>IF($D$24="English","PLAYER'S NAME","NOMBRE JUGADOR")</f>
        <v>NOMBRE JUGADOR</v>
      </c>
      <c r="C29" s="140"/>
      <c r="D29" s="62" t="str">
        <f>IF($D$24="English","POSITION","POSICIÓN")</f>
        <v>POSICIÓN</v>
      </c>
      <c r="E29" s="62" t="str">
        <f>IF($D$24="English","MA","MO")</f>
        <v>MO</v>
      </c>
      <c r="F29" s="62" t="str">
        <f>IF($D$24="English","ST","FU")</f>
        <v>FU</v>
      </c>
      <c r="G29" s="62" t="s">
        <v>13</v>
      </c>
      <c r="H29" s="63" t="str">
        <f>IF($D$24="English","AV","AR")</f>
        <v>AR</v>
      </c>
      <c r="I29" s="138" t="str">
        <f>IF($D$24="English","SKILLS","HABILIDADES")</f>
        <v>HABILIDADES</v>
      </c>
      <c r="J29" s="139"/>
      <c r="K29" s="139"/>
      <c r="L29" s="139"/>
      <c r="M29" s="140"/>
      <c r="N29" s="62" t="str">
        <f>IF($D$24="English","VALUE","VALOR")</f>
        <v>VALOR</v>
      </c>
      <c r="O29" s="62" t="str">
        <f>IF($D$24="English","SPP","PE")</f>
        <v>PE</v>
      </c>
      <c r="P29" s="73"/>
      <c r="Q29" s="73"/>
      <c r="R29" s="119" t="str">
        <f>IF($D$24="English","Results","Resultados")</f>
        <v>Resultados</v>
      </c>
      <c r="S29" s="120"/>
      <c r="T29" s="121"/>
      <c r="U29" s="115" t="str">
        <f>IF($D$24="English","Won","Victoria")</f>
        <v>Victoria</v>
      </c>
      <c r="V29" s="116"/>
      <c r="W29" s="117"/>
      <c r="X29" s="81">
        <f>COUNTIF('Record Chart'!$C$3:$C$134,U29)</f>
        <v>0</v>
      </c>
      <c r="Y29" s="82">
        <f>X29/IF('Record Chart'!$B$3="",1,COUNT('Record Chart'!$B$3:$B$134))</f>
        <v>0</v>
      </c>
      <c r="Z29" s="73"/>
      <c r="AA29" s="73"/>
      <c r="AB29" s="73"/>
      <c r="AC29" s="73"/>
      <c r="AD29" s="73"/>
      <c r="AE29" s="70"/>
      <c r="AF29" s="70"/>
      <c r="AG29" s="70"/>
      <c r="AH29" s="70"/>
      <c r="AJ29" t="s">
        <v>267</v>
      </c>
      <c r="AK29" s="1" t="s">
        <v>81</v>
      </c>
      <c r="AL29" s="6">
        <v>60000</v>
      </c>
      <c r="AN29" s="1" t="s">
        <v>274</v>
      </c>
      <c r="AO29" s="5" t="s">
        <v>33</v>
      </c>
      <c r="AP29" s="1">
        <v>1</v>
      </c>
      <c r="AQ29" s="2">
        <v>270000</v>
      </c>
      <c r="AR29" s="1">
        <v>6</v>
      </c>
      <c r="AS29" s="1">
        <v>4</v>
      </c>
      <c r="AT29" s="1">
        <v>3</v>
      </c>
      <c r="AU29" s="1">
        <v>8</v>
      </c>
      <c r="AV29" s="5" t="s">
        <v>168</v>
      </c>
      <c r="AW29" s="1" t="s">
        <v>37</v>
      </c>
      <c r="AX29" s="1" t="s">
        <v>37</v>
      </c>
    </row>
    <row r="30" spans="1:50" x14ac:dyDescent="0.25">
      <c r="A30" s="73"/>
      <c r="B30" s="112"/>
      <c r="C30" s="113"/>
      <c r="D30" s="57"/>
      <c r="E30" s="58"/>
      <c r="F30" s="58"/>
      <c r="G30" s="58"/>
      <c r="H30" s="58"/>
      <c r="I30" s="135"/>
      <c r="J30" s="136"/>
      <c r="K30" s="136"/>
      <c r="L30" s="136"/>
      <c r="M30" s="137"/>
      <c r="N30" s="80"/>
      <c r="O30" s="58"/>
      <c r="P30" s="74"/>
      <c r="Q30" s="73"/>
      <c r="R30" s="122"/>
      <c r="S30" s="123"/>
      <c r="T30" s="124"/>
      <c r="U30" s="115" t="str">
        <f>IF($D$24="English","Tied","Empate")</f>
        <v>Empate</v>
      </c>
      <c r="V30" s="116"/>
      <c r="W30" s="117"/>
      <c r="X30" s="81">
        <f>COUNTIF('Record Chart'!$C$3:$C$134,U30)</f>
        <v>0</v>
      </c>
      <c r="Y30" s="82">
        <f>X30/IF('Record Chart'!$B$3="",1,COUNT('Record Chart'!$B$3:$B$134))</f>
        <v>0</v>
      </c>
      <c r="Z30" s="73"/>
      <c r="AA30" s="73"/>
      <c r="AB30" s="73"/>
      <c r="AC30" s="73"/>
      <c r="AD30" s="73"/>
      <c r="AE30" s="70"/>
      <c r="AF30" s="70"/>
      <c r="AG30" s="70"/>
      <c r="AH30" s="70"/>
      <c r="AJ30" t="s">
        <v>268</v>
      </c>
      <c r="AK30" s="1" t="s">
        <v>648</v>
      </c>
      <c r="AL30" s="6">
        <v>70000</v>
      </c>
      <c r="AN30" s="1" t="s">
        <v>274</v>
      </c>
      <c r="AO30" s="5" t="s">
        <v>107</v>
      </c>
      <c r="AP30" s="1">
        <v>1</v>
      </c>
      <c r="AQ30" s="2">
        <v>320000</v>
      </c>
      <c r="AR30" s="1">
        <v>7</v>
      </c>
      <c r="AS30" s="1">
        <v>4</v>
      </c>
      <c r="AT30" s="1">
        <v>4</v>
      </c>
      <c r="AU30" s="1">
        <v>8</v>
      </c>
      <c r="AV30" s="5" t="s">
        <v>531</v>
      </c>
      <c r="AW30" s="1" t="s">
        <v>37</v>
      </c>
      <c r="AX30" s="1" t="s">
        <v>37</v>
      </c>
    </row>
    <row r="31" spans="1:50" x14ac:dyDescent="0.25">
      <c r="A31" s="73"/>
      <c r="B31" s="112"/>
      <c r="C31" s="113"/>
      <c r="D31" s="57"/>
      <c r="E31" s="58"/>
      <c r="F31" s="58"/>
      <c r="G31" s="58"/>
      <c r="H31" s="58"/>
      <c r="I31" s="135"/>
      <c r="J31" s="136"/>
      <c r="K31" s="136"/>
      <c r="L31" s="136"/>
      <c r="M31" s="137"/>
      <c r="N31" s="80"/>
      <c r="O31" s="58"/>
      <c r="P31" s="71"/>
      <c r="Q31" s="73"/>
      <c r="R31" s="125"/>
      <c r="S31" s="126"/>
      <c r="T31" s="127"/>
      <c r="U31" s="115" t="str">
        <f>IF($D$24="English","Lost","Derrota")</f>
        <v>Derrota</v>
      </c>
      <c r="V31" s="116"/>
      <c r="W31" s="117"/>
      <c r="X31" s="81">
        <f>COUNTIF('Record Chart'!$C$3:$C$134,U31)</f>
        <v>0</v>
      </c>
      <c r="Y31" s="82">
        <f>X31/IF('Record Chart'!$B$3="",1,COUNT('Record Chart'!$B$3:$B$134))</f>
        <v>0</v>
      </c>
      <c r="Z31" s="73"/>
      <c r="AA31" s="73"/>
      <c r="AB31" s="73"/>
      <c r="AC31" s="73"/>
      <c r="AD31" s="73"/>
      <c r="AE31" s="70"/>
      <c r="AF31" s="70"/>
      <c r="AG31" s="70"/>
      <c r="AH31" s="70"/>
      <c r="AJ31" t="s">
        <v>273</v>
      </c>
      <c r="AK31" s="1" t="s">
        <v>81</v>
      </c>
      <c r="AL31" s="6">
        <v>70000</v>
      </c>
      <c r="AN31" s="1" t="s">
        <v>274</v>
      </c>
      <c r="AO31" s="99" t="s">
        <v>867</v>
      </c>
      <c r="AP31" s="92">
        <v>1</v>
      </c>
      <c r="AQ31" s="100">
        <v>380000</v>
      </c>
      <c r="AR31" s="92">
        <v>5</v>
      </c>
      <c r="AS31" s="92">
        <v>6</v>
      </c>
      <c r="AT31" s="92">
        <v>2</v>
      </c>
      <c r="AU31" s="92">
        <v>10</v>
      </c>
      <c r="AV31" s="99" t="s">
        <v>864</v>
      </c>
      <c r="AW31" s="1" t="s">
        <v>37</v>
      </c>
      <c r="AX31" s="1" t="s">
        <v>37</v>
      </c>
    </row>
    <row r="32" spans="1:50" x14ac:dyDescent="0.25">
      <c r="A32" s="73"/>
      <c r="B32" s="112"/>
      <c r="C32" s="113"/>
      <c r="D32" s="57"/>
      <c r="E32" s="58"/>
      <c r="F32" s="58"/>
      <c r="G32" s="58"/>
      <c r="H32" s="58"/>
      <c r="I32" s="135"/>
      <c r="J32" s="136"/>
      <c r="K32" s="136"/>
      <c r="L32" s="136"/>
      <c r="M32" s="137"/>
      <c r="N32" s="80"/>
      <c r="O32" s="58"/>
      <c r="P32" s="71"/>
      <c r="Q32" s="73"/>
      <c r="R32" s="119" t="s">
        <v>83</v>
      </c>
      <c r="S32" s="120"/>
      <c r="T32" s="121"/>
      <c r="U32" s="115" t="str">
        <f>IF($D$24="English","For","A Favor")</f>
        <v>A Favor</v>
      </c>
      <c r="V32" s="116"/>
      <c r="W32" s="117"/>
      <c r="X32" s="81">
        <f>SUM('Record Chart'!F3:F134)</f>
        <v>0</v>
      </c>
      <c r="Y32" s="98">
        <f>X32/IF('Record Chart'!$B$3="",1,COUNT('Record Chart'!$B$3:$B$134))</f>
        <v>0</v>
      </c>
      <c r="Z32" s="73"/>
      <c r="AA32" s="73"/>
      <c r="AB32" s="73"/>
      <c r="AC32" s="73"/>
      <c r="AD32" s="73"/>
      <c r="AE32" s="70"/>
      <c r="AF32" s="70"/>
      <c r="AG32" s="70"/>
      <c r="AH32" s="70"/>
      <c r="AJ32" t="s">
        <v>210</v>
      </c>
      <c r="AK32" s="1" t="s">
        <v>81</v>
      </c>
      <c r="AL32" s="6">
        <v>70000</v>
      </c>
      <c r="AN32" s="1" t="s">
        <v>274</v>
      </c>
      <c r="AO32" s="99" t="s">
        <v>877</v>
      </c>
      <c r="AP32" s="92">
        <v>16</v>
      </c>
      <c r="AQ32" s="100">
        <v>400000</v>
      </c>
      <c r="AR32" s="92">
        <v>6</v>
      </c>
      <c r="AS32" s="92">
        <v>7</v>
      </c>
      <c r="AT32" s="92">
        <v>2</v>
      </c>
      <c r="AU32" s="92">
        <v>10</v>
      </c>
      <c r="AV32" s="99" t="s">
        <v>878</v>
      </c>
      <c r="AW32" s="1" t="s">
        <v>37</v>
      </c>
      <c r="AX32" s="1" t="s">
        <v>37</v>
      </c>
    </row>
    <row r="33" spans="1:50" x14ac:dyDescent="0.25">
      <c r="A33" s="73"/>
      <c r="B33" s="112"/>
      <c r="C33" s="113"/>
      <c r="D33" s="57"/>
      <c r="E33" s="58"/>
      <c r="F33" s="58"/>
      <c r="G33" s="58"/>
      <c r="H33" s="58"/>
      <c r="I33" s="135"/>
      <c r="J33" s="136"/>
      <c r="K33" s="136"/>
      <c r="L33" s="136"/>
      <c r="M33" s="137"/>
      <c r="N33" s="80"/>
      <c r="O33" s="58"/>
      <c r="P33" s="71"/>
      <c r="Q33" s="73"/>
      <c r="R33" s="125"/>
      <c r="S33" s="126"/>
      <c r="T33" s="127"/>
      <c r="U33" s="115" t="str">
        <f>IF($D$24="English","Against","En Contra")</f>
        <v>En Contra</v>
      </c>
      <c r="V33" s="116"/>
      <c r="W33" s="117"/>
      <c r="X33" s="81">
        <f>SUM('Record Chart'!G3:G134)</f>
        <v>0</v>
      </c>
      <c r="Y33" s="98">
        <f>X33/IF('Record Chart'!$B$3="",1,COUNT('Record Chart'!$B$3:$B$134))</f>
        <v>0</v>
      </c>
      <c r="Z33" s="73"/>
      <c r="AA33" s="73"/>
      <c r="AB33" s="73"/>
      <c r="AC33" s="73"/>
      <c r="AD33" s="73"/>
      <c r="AE33" s="70"/>
      <c r="AF33" s="70"/>
      <c r="AG33" s="70"/>
      <c r="AH33" s="70"/>
      <c r="AJ33" t="s">
        <v>665</v>
      </c>
      <c r="AK33" s="1" t="s">
        <v>81</v>
      </c>
      <c r="AL33" s="6">
        <v>50000</v>
      </c>
      <c r="AN33" s="1" t="s">
        <v>274</v>
      </c>
      <c r="AO33" s="5" t="s">
        <v>35</v>
      </c>
      <c r="AP33" s="1">
        <v>1</v>
      </c>
      <c r="AQ33" s="2">
        <v>430000</v>
      </c>
      <c r="AR33" s="1">
        <v>6</v>
      </c>
      <c r="AS33" s="1">
        <v>6</v>
      </c>
      <c r="AT33" s="1">
        <v>3</v>
      </c>
      <c r="AU33" s="1">
        <v>10</v>
      </c>
      <c r="AV33" s="5" t="s">
        <v>151</v>
      </c>
      <c r="AW33" s="1" t="s">
        <v>37</v>
      </c>
      <c r="AX33" s="1" t="s">
        <v>37</v>
      </c>
    </row>
    <row r="34" spans="1:50" x14ac:dyDescent="0.25">
      <c r="A34" s="73"/>
      <c r="B34" s="112"/>
      <c r="C34" s="113"/>
      <c r="D34" s="57"/>
      <c r="E34" s="58"/>
      <c r="F34" s="58"/>
      <c r="G34" s="58"/>
      <c r="H34" s="58"/>
      <c r="I34" s="135"/>
      <c r="J34" s="136"/>
      <c r="K34" s="136"/>
      <c r="L34" s="136"/>
      <c r="M34" s="137"/>
      <c r="N34" s="80"/>
      <c r="O34" s="58"/>
      <c r="P34" s="71"/>
      <c r="Q34" s="73"/>
      <c r="R34" s="119" t="str">
        <f>IF($D$24="English","Casualties","Bajas")</f>
        <v>Bajas</v>
      </c>
      <c r="S34" s="120"/>
      <c r="T34" s="121"/>
      <c r="U34" s="115" t="str">
        <f>IF($D$24="English","For","A Favor")</f>
        <v>A Favor</v>
      </c>
      <c r="V34" s="116"/>
      <c r="W34" s="117"/>
      <c r="X34" s="81">
        <f>SUM('Record Chart'!H3:H134)</f>
        <v>0</v>
      </c>
      <c r="Y34" s="98">
        <f>X34/IF('Record Chart'!$B$3="",1,COUNT('Record Chart'!$B$3:$B$134))</f>
        <v>0</v>
      </c>
      <c r="Z34" s="73"/>
      <c r="AA34" s="73"/>
      <c r="AB34" s="73"/>
      <c r="AC34" s="73"/>
      <c r="AD34" s="73"/>
      <c r="AE34" s="70"/>
      <c r="AF34" s="70"/>
      <c r="AG34" s="70"/>
      <c r="AH34" s="70"/>
      <c r="AJ34"/>
      <c r="AK34"/>
      <c r="AL34" s="1"/>
      <c r="AN34" s="1" t="s">
        <v>884</v>
      </c>
      <c r="AO34" s="5"/>
      <c r="AP34" s="1"/>
      <c r="AQ34"/>
      <c r="AR34" s="1"/>
      <c r="AS34" s="1"/>
      <c r="AT34" s="1"/>
      <c r="AU34" s="1"/>
      <c r="AV34"/>
      <c r="AW34" s="1"/>
      <c r="AX34" s="1"/>
    </row>
    <row r="35" spans="1:50" x14ac:dyDescent="0.25">
      <c r="A35" s="73"/>
      <c r="B35" s="112"/>
      <c r="C35" s="113"/>
      <c r="D35" s="57"/>
      <c r="E35" s="58"/>
      <c r="F35" s="58"/>
      <c r="G35" s="58"/>
      <c r="H35" s="58"/>
      <c r="I35" s="135"/>
      <c r="J35" s="136"/>
      <c r="K35" s="136"/>
      <c r="L35" s="136"/>
      <c r="M35" s="137"/>
      <c r="N35" s="80"/>
      <c r="O35" s="58"/>
      <c r="P35" s="71"/>
      <c r="Q35" s="73"/>
      <c r="R35" s="125"/>
      <c r="S35" s="126"/>
      <c r="T35" s="127"/>
      <c r="U35" s="115" t="str">
        <f>IF($D$24="English","Against","En Contra")</f>
        <v>En Contra</v>
      </c>
      <c r="V35" s="116"/>
      <c r="W35" s="117"/>
      <c r="X35" s="81">
        <f>SUM('Record Chart'!I3:I134)</f>
        <v>0</v>
      </c>
      <c r="Y35" s="98">
        <f>X35/IF('Record Chart'!$B$3="",1,COUNT('Record Chart'!$B$3:$B$134))</f>
        <v>0</v>
      </c>
      <c r="Z35" s="73"/>
      <c r="AA35" s="73"/>
      <c r="AB35" s="73"/>
      <c r="AC35" s="73"/>
      <c r="AD35" s="73"/>
      <c r="AE35" s="70"/>
      <c r="AF35" s="70"/>
      <c r="AG35" s="70"/>
      <c r="AH35" s="70"/>
      <c r="AJ35" t="s">
        <v>666</v>
      </c>
      <c r="AK35" s="1" t="s">
        <v>649</v>
      </c>
      <c r="AL35" s="6">
        <v>50000</v>
      </c>
      <c r="AN35" s="1" t="s">
        <v>884</v>
      </c>
      <c r="AO35" s="5" t="s">
        <v>38</v>
      </c>
      <c r="AP35" s="1">
        <v>16</v>
      </c>
      <c r="AQ35" s="2">
        <v>60000</v>
      </c>
      <c r="AR35" s="1">
        <v>6</v>
      </c>
      <c r="AS35" s="1">
        <v>3</v>
      </c>
      <c r="AT35" s="1">
        <v>3</v>
      </c>
      <c r="AU35" s="1">
        <v>8</v>
      </c>
      <c r="AV35" t="s">
        <v>39</v>
      </c>
      <c r="AW35" s="1" t="s">
        <v>40</v>
      </c>
      <c r="AX35" s="1" t="s">
        <v>29</v>
      </c>
    </row>
    <row r="36" spans="1:50" x14ac:dyDescent="0.25">
      <c r="A36" s="73"/>
      <c r="B36" s="112"/>
      <c r="C36" s="113"/>
      <c r="D36" s="57"/>
      <c r="E36" s="58"/>
      <c r="F36" s="58"/>
      <c r="G36" s="58"/>
      <c r="H36" s="58"/>
      <c r="I36" s="135"/>
      <c r="J36" s="136"/>
      <c r="K36" s="136"/>
      <c r="L36" s="136"/>
      <c r="M36" s="137"/>
      <c r="N36" s="80"/>
      <c r="O36" s="58"/>
      <c r="P36" s="71"/>
      <c r="Q36" s="73"/>
      <c r="R36" s="73"/>
      <c r="S36" s="73"/>
      <c r="T36" s="73"/>
      <c r="U36" s="73"/>
      <c r="V36" s="73"/>
      <c r="W36" s="73"/>
      <c r="X36" s="75"/>
      <c r="Y36" s="76"/>
      <c r="Z36" s="73"/>
      <c r="AA36" s="73"/>
      <c r="AB36" s="73"/>
      <c r="AC36" s="73"/>
      <c r="AD36" s="73"/>
      <c r="AE36" s="70"/>
      <c r="AF36" s="70"/>
      <c r="AG36" s="70"/>
      <c r="AH36" s="70"/>
      <c r="AJ36" s="5" t="s">
        <v>359</v>
      </c>
      <c r="AK36" s="1" t="s">
        <v>649</v>
      </c>
      <c r="AL36" s="6">
        <v>50000</v>
      </c>
      <c r="AN36" s="1" t="s">
        <v>884</v>
      </c>
      <c r="AO36" s="5" t="s">
        <v>41</v>
      </c>
      <c r="AP36" s="1">
        <v>4</v>
      </c>
      <c r="AQ36" s="2">
        <v>100000</v>
      </c>
      <c r="AR36" s="1">
        <v>5</v>
      </c>
      <c r="AS36" s="1">
        <v>4</v>
      </c>
      <c r="AT36" s="1">
        <v>3</v>
      </c>
      <c r="AU36" s="1">
        <v>9</v>
      </c>
      <c r="AV36" t="s">
        <v>647</v>
      </c>
      <c r="AW36" s="1" t="s">
        <v>40</v>
      </c>
      <c r="AX36" s="1" t="s">
        <v>29</v>
      </c>
    </row>
    <row r="37" spans="1:50" x14ac:dyDescent="0.25">
      <c r="A37" s="73"/>
      <c r="B37" s="112"/>
      <c r="C37" s="113"/>
      <c r="D37" s="57"/>
      <c r="E37" s="58"/>
      <c r="F37" s="58"/>
      <c r="G37" s="58"/>
      <c r="H37" s="58"/>
      <c r="I37" s="135"/>
      <c r="J37" s="136"/>
      <c r="K37" s="136"/>
      <c r="L37" s="136"/>
      <c r="M37" s="137"/>
      <c r="N37" s="80"/>
      <c r="O37" s="58"/>
      <c r="P37" s="71"/>
      <c r="Q37" s="73"/>
      <c r="R37" s="73"/>
      <c r="S37" s="73"/>
      <c r="T37" s="147" t="s">
        <v>82</v>
      </c>
      <c r="U37" s="147"/>
      <c r="V37" s="147"/>
      <c r="W37" s="116" t="str">
        <f>IF($D$24="English","Average","Media")</f>
        <v>Media</v>
      </c>
      <c r="X37" s="116"/>
      <c r="Y37" s="117"/>
      <c r="Z37" s="73"/>
      <c r="AA37" s="73"/>
      <c r="AB37" s="73"/>
      <c r="AC37" s="73"/>
      <c r="AD37" s="73"/>
      <c r="AE37" s="70"/>
      <c r="AF37" s="70"/>
      <c r="AG37" s="70"/>
      <c r="AH37" s="70"/>
      <c r="AJ37" s="5" t="s">
        <v>360</v>
      </c>
      <c r="AK37" s="1" t="s">
        <v>649</v>
      </c>
      <c r="AL37" s="6">
        <v>70000</v>
      </c>
      <c r="AN37" s="1" t="s">
        <v>884</v>
      </c>
      <c r="AO37" s="5" t="s">
        <v>42</v>
      </c>
      <c r="AP37" s="1">
        <v>1</v>
      </c>
      <c r="AQ37" s="2">
        <v>150000</v>
      </c>
      <c r="AR37" s="1">
        <v>5</v>
      </c>
      <c r="AS37" s="1">
        <v>5</v>
      </c>
      <c r="AT37" s="1">
        <v>2</v>
      </c>
      <c r="AU37" s="1">
        <v>8</v>
      </c>
      <c r="AV37" t="s">
        <v>43</v>
      </c>
      <c r="AW37" s="1" t="s">
        <v>44</v>
      </c>
      <c r="AX37" s="1" t="s">
        <v>45</v>
      </c>
    </row>
    <row r="38" spans="1:50" x14ac:dyDescent="0.25">
      <c r="A38" s="73"/>
      <c r="B38" s="112"/>
      <c r="C38" s="113"/>
      <c r="D38" s="57"/>
      <c r="E38" s="58"/>
      <c r="F38" s="58"/>
      <c r="G38" s="58"/>
      <c r="H38" s="58"/>
      <c r="I38" s="135"/>
      <c r="J38" s="136"/>
      <c r="K38" s="136"/>
      <c r="L38" s="136"/>
      <c r="M38" s="137"/>
      <c r="N38" s="80"/>
      <c r="O38" s="58"/>
      <c r="P38" s="71"/>
      <c r="Q38" s="73"/>
      <c r="R38" s="115" t="str">
        <f>IF($D$24="English","Gate","Entrada")</f>
        <v>Entrada</v>
      </c>
      <c r="S38" s="117"/>
      <c r="T38" s="148">
        <f>SUM('Record Chart'!J3:J134)</f>
        <v>0</v>
      </c>
      <c r="U38" s="149"/>
      <c r="V38" s="150"/>
      <c r="W38" s="148">
        <f>T38/IF('Record Chart'!$B$3="",1,COUNT('Record Chart'!$B$3:$B$134))</f>
        <v>0</v>
      </c>
      <c r="X38" s="149"/>
      <c r="Y38" s="150"/>
      <c r="Z38" s="73"/>
      <c r="AA38" s="73"/>
      <c r="AB38" s="73"/>
      <c r="AC38" s="73"/>
      <c r="AD38" s="73"/>
      <c r="AE38" s="70"/>
      <c r="AF38" s="70"/>
      <c r="AG38" s="70"/>
      <c r="AH38" s="70"/>
      <c r="AJ38" s="5" t="s">
        <v>361</v>
      </c>
      <c r="AK38" s="1" t="s">
        <v>649</v>
      </c>
      <c r="AL38" s="6">
        <v>60000</v>
      </c>
      <c r="AN38" s="1" t="s">
        <v>884</v>
      </c>
      <c r="AO38" s="5" t="s">
        <v>46</v>
      </c>
      <c r="AP38" s="1">
        <v>11</v>
      </c>
      <c r="AQ38" s="2">
        <v>60000</v>
      </c>
      <c r="AR38" s="1">
        <v>6</v>
      </c>
      <c r="AS38" s="1">
        <v>3</v>
      </c>
      <c r="AT38" s="1">
        <v>3</v>
      </c>
      <c r="AU38" s="1">
        <v>8</v>
      </c>
      <c r="AV38" t="s">
        <v>63</v>
      </c>
      <c r="AW38" s="1" t="s">
        <v>40</v>
      </c>
      <c r="AX38" s="1" t="s">
        <v>29</v>
      </c>
    </row>
    <row r="39" spans="1:50" x14ac:dyDescent="0.25">
      <c r="A39" s="70"/>
      <c r="B39" s="112"/>
      <c r="C39" s="113"/>
      <c r="D39" s="57"/>
      <c r="E39" s="58"/>
      <c r="F39" s="58"/>
      <c r="G39" s="58"/>
      <c r="H39" s="58"/>
      <c r="I39" s="135"/>
      <c r="J39" s="136"/>
      <c r="K39" s="136"/>
      <c r="L39" s="136"/>
      <c r="M39" s="137"/>
      <c r="N39" s="80"/>
      <c r="O39" s="58"/>
      <c r="P39" s="73"/>
      <c r="Q39" s="73"/>
      <c r="R39" s="115" t="str">
        <f>IF($D$24="English","Winnings","Ganancias")</f>
        <v>Ganancias</v>
      </c>
      <c r="S39" s="117"/>
      <c r="T39" s="151">
        <f>SUM('Record Chart'!K3:K134)</f>
        <v>0</v>
      </c>
      <c r="U39" s="152"/>
      <c r="V39" s="153"/>
      <c r="W39" s="148">
        <f>T39/IF('Record Chart'!$B$3="",1,COUNT('Record Chart'!$B$3:$B$134))</f>
        <v>0</v>
      </c>
      <c r="X39" s="149"/>
      <c r="Y39" s="150"/>
      <c r="Z39" s="70"/>
      <c r="AA39" s="70"/>
      <c r="AB39" s="70"/>
      <c r="AC39" s="70"/>
      <c r="AD39" s="70"/>
      <c r="AE39" s="70"/>
      <c r="AF39" s="70"/>
      <c r="AG39" s="70"/>
      <c r="AH39" s="70"/>
      <c r="AJ39" s="5" t="s">
        <v>667</v>
      </c>
      <c r="AK39" s="1" t="s">
        <v>649</v>
      </c>
      <c r="AL39" s="6">
        <v>70000</v>
      </c>
      <c r="AN39" s="1" t="s">
        <v>884</v>
      </c>
      <c r="AO39" s="5" t="s">
        <v>47</v>
      </c>
      <c r="AP39" s="1">
        <v>1</v>
      </c>
      <c r="AQ39" s="2">
        <v>130000</v>
      </c>
      <c r="AR39" s="1">
        <v>5</v>
      </c>
      <c r="AS39" s="1">
        <v>4</v>
      </c>
      <c r="AT39" s="1">
        <v>3</v>
      </c>
      <c r="AU39" s="1">
        <v>8</v>
      </c>
      <c r="AV39" s="5" t="s">
        <v>149</v>
      </c>
      <c r="AW39" s="1" t="s">
        <v>37</v>
      </c>
      <c r="AX39" s="1" t="s">
        <v>37</v>
      </c>
    </row>
    <row r="40" spans="1:50" x14ac:dyDescent="0.25">
      <c r="AJ40" s="5" t="s">
        <v>668</v>
      </c>
      <c r="AK40" s="1" t="s">
        <v>649</v>
      </c>
      <c r="AL40" s="6">
        <v>50000</v>
      </c>
      <c r="AN40" s="1" t="s">
        <v>884</v>
      </c>
      <c r="AO40" s="5" t="s">
        <v>48</v>
      </c>
      <c r="AP40" s="1">
        <v>1</v>
      </c>
      <c r="AQ40" s="2">
        <v>160000</v>
      </c>
      <c r="AR40" s="1">
        <v>6</v>
      </c>
      <c r="AS40" s="1">
        <v>3</v>
      </c>
      <c r="AT40" s="1">
        <v>3</v>
      </c>
      <c r="AU40" s="1">
        <v>9</v>
      </c>
      <c r="AV40" s="5" t="s">
        <v>702</v>
      </c>
      <c r="AW40" s="1" t="s">
        <v>37</v>
      </c>
      <c r="AX40" s="1" t="s">
        <v>37</v>
      </c>
    </row>
    <row r="41" spans="1:50" x14ac:dyDescent="0.25">
      <c r="AJ41" s="5" t="s">
        <v>669</v>
      </c>
      <c r="AK41" s="1" t="s">
        <v>649</v>
      </c>
      <c r="AL41" s="6">
        <v>50000</v>
      </c>
      <c r="AN41" s="1" t="s">
        <v>884</v>
      </c>
      <c r="AO41" s="99" t="s">
        <v>703</v>
      </c>
      <c r="AP41" s="1">
        <v>1</v>
      </c>
      <c r="AQ41" s="100">
        <v>170000</v>
      </c>
      <c r="AR41" s="1">
        <v>6</v>
      </c>
      <c r="AS41" s="1">
        <v>3</v>
      </c>
      <c r="AT41" s="1">
        <v>3</v>
      </c>
      <c r="AU41" s="1">
        <v>8</v>
      </c>
      <c r="AV41" s="99" t="s">
        <v>704</v>
      </c>
      <c r="AW41" s="1" t="s">
        <v>37</v>
      </c>
      <c r="AX41" s="1" t="s">
        <v>37</v>
      </c>
    </row>
    <row r="42" spans="1:50" x14ac:dyDescent="0.25">
      <c r="AJ42" s="5" t="s">
        <v>670</v>
      </c>
      <c r="AK42" s="1" t="s">
        <v>649</v>
      </c>
      <c r="AL42" s="6">
        <v>50000</v>
      </c>
      <c r="AN42" s="1" t="s">
        <v>884</v>
      </c>
      <c r="AO42" s="99" t="s">
        <v>691</v>
      </c>
      <c r="AP42" s="92">
        <v>1</v>
      </c>
      <c r="AQ42" s="100">
        <v>180000</v>
      </c>
      <c r="AR42" s="92">
        <v>4</v>
      </c>
      <c r="AS42" s="92">
        <v>5</v>
      </c>
      <c r="AT42" s="92">
        <v>2</v>
      </c>
      <c r="AU42" s="92">
        <v>9</v>
      </c>
      <c r="AV42" s="99" t="s">
        <v>692</v>
      </c>
      <c r="AW42" s="1" t="s">
        <v>37</v>
      </c>
      <c r="AX42" s="1" t="s">
        <v>37</v>
      </c>
    </row>
    <row r="43" spans="1:50" x14ac:dyDescent="0.25">
      <c r="AJ43" s="5" t="s">
        <v>362</v>
      </c>
      <c r="AK43" s="1" t="s">
        <v>649</v>
      </c>
      <c r="AL43" s="6">
        <v>50000</v>
      </c>
      <c r="AN43" s="1" t="s">
        <v>884</v>
      </c>
      <c r="AO43" s="5" t="s">
        <v>127</v>
      </c>
      <c r="AP43" s="1">
        <v>1</v>
      </c>
      <c r="AQ43" s="2">
        <v>210000</v>
      </c>
      <c r="AR43" s="1">
        <v>5</v>
      </c>
      <c r="AS43" s="1">
        <v>3</v>
      </c>
      <c r="AT43" s="1">
        <v>4</v>
      </c>
      <c r="AU43" s="1">
        <v>9</v>
      </c>
      <c r="AV43" s="5" t="s">
        <v>172</v>
      </c>
      <c r="AW43" s="1" t="s">
        <v>37</v>
      </c>
      <c r="AX43" s="1" t="s">
        <v>37</v>
      </c>
    </row>
    <row r="44" spans="1:50" x14ac:dyDescent="0.25">
      <c r="AJ44" s="5" t="s">
        <v>671</v>
      </c>
      <c r="AK44" s="1" t="s">
        <v>649</v>
      </c>
      <c r="AL44" s="6">
        <v>70000</v>
      </c>
      <c r="AN44" s="1" t="s">
        <v>884</v>
      </c>
      <c r="AO44" s="5" t="s">
        <v>707</v>
      </c>
      <c r="AP44" s="1">
        <v>1</v>
      </c>
      <c r="AQ44" s="100">
        <v>230000</v>
      </c>
      <c r="AR44" s="1">
        <v>5</v>
      </c>
      <c r="AS44" s="1">
        <v>4</v>
      </c>
      <c r="AT44" s="1">
        <v>2</v>
      </c>
      <c r="AU44" s="1">
        <v>9</v>
      </c>
      <c r="AV44" s="99" t="s">
        <v>708</v>
      </c>
      <c r="AW44" s="1" t="s">
        <v>37</v>
      </c>
      <c r="AX44" s="1" t="s">
        <v>37</v>
      </c>
    </row>
    <row r="45" spans="1:50" x14ac:dyDescent="0.25">
      <c r="AJ45" s="5" t="s">
        <v>201</v>
      </c>
      <c r="AK45" s="1" t="s">
        <v>649</v>
      </c>
      <c r="AL45" s="6">
        <v>60000</v>
      </c>
      <c r="AN45" s="1" t="s">
        <v>884</v>
      </c>
      <c r="AO45" s="99" t="s">
        <v>705</v>
      </c>
      <c r="AP45" s="1">
        <v>1</v>
      </c>
      <c r="AQ45" s="100">
        <v>250000</v>
      </c>
      <c r="AR45" s="1">
        <v>5</v>
      </c>
      <c r="AS45" s="1">
        <v>5</v>
      </c>
      <c r="AT45" s="1">
        <v>1</v>
      </c>
      <c r="AU45" s="1">
        <v>9</v>
      </c>
      <c r="AV45" s="99" t="s">
        <v>706</v>
      </c>
      <c r="AW45" s="1" t="s">
        <v>37</v>
      </c>
      <c r="AX45" s="1" t="s">
        <v>37</v>
      </c>
    </row>
    <row r="46" spans="1:50" x14ac:dyDescent="0.25">
      <c r="AJ46" s="5" t="s">
        <v>672</v>
      </c>
      <c r="AK46" s="1" t="s">
        <v>649</v>
      </c>
      <c r="AL46" s="6">
        <v>60000</v>
      </c>
      <c r="AN46" s="1" t="s">
        <v>884</v>
      </c>
      <c r="AO46" s="5" t="s">
        <v>49</v>
      </c>
      <c r="AP46" s="1">
        <v>1</v>
      </c>
      <c r="AQ46" s="2">
        <v>290000</v>
      </c>
      <c r="AR46" s="1">
        <v>5</v>
      </c>
      <c r="AS46" s="1">
        <v>5</v>
      </c>
      <c r="AT46" s="1">
        <v>2</v>
      </c>
      <c r="AU46" s="1">
        <v>9</v>
      </c>
      <c r="AV46" s="5" t="s">
        <v>89</v>
      </c>
      <c r="AW46" s="1" t="s">
        <v>37</v>
      </c>
      <c r="AX46" s="1" t="s">
        <v>37</v>
      </c>
    </row>
    <row r="47" spans="1:50" x14ac:dyDescent="0.25">
      <c r="AJ47" s="5" t="s">
        <v>673</v>
      </c>
      <c r="AK47" s="1" t="s">
        <v>649</v>
      </c>
      <c r="AL47" s="6">
        <v>60000</v>
      </c>
      <c r="AN47" s="1" t="s">
        <v>884</v>
      </c>
      <c r="AO47" s="5" t="s">
        <v>50</v>
      </c>
      <c r="AP47" s="1">
        <v>1</v>
      </c>
      <c r="AQ47" s="1" t="s">
        <v>37</v>
      </c>
      <c r="AR47" s="1">
        <v>6</v>
      </c>
      <c r="AS47" s="1">
        <v>2</v>
      </c>
      <c r="AT47" s="1">
        <v>4</v>
      </c>
      <c r="AU47" s="1">
        <v>7</v>
      </c>
      <c r="AV47" s="5" t="s">
        <v>90</v>
      </c>
      <c r="AW47" s="1" t="s">
        <v>37</v>
      </c>
      <c r="AX47" s="1" t="s">
        <v>37</v>
      </c>
    </row>
    <row r="48" spans="1:50" x14ac:dyDescent="0.25">
      <c r="AJ48" s="5" t="s">
        <v>363</v>
      </c>
      <c r="AK48" s="1" t="s">
        <v>649</v>
      </c>
      <c r="AL48" s="6">
        <v>50000</v>
      </c>
      <c r="AN48" s="1" t="s">
        <v>884</v>
      </c>
      <c r="AO48" s="5" t="s">
        <v>51</v>
      </c>
      <c r="AP48" s="1">
        <v>1</v>
      </c>
      <c r="AQ48" s="2">
        <v>300000</v>
      </c>
      <c r="AR48" s="1">
        <v>5</v>
      </c>
      <c r="AS48" s="1">
        <v>5</v>
      </c>
      <c r="AT48" s="1">
        <v>3</v>
      </c>
      <c r="AU48" s="1">
        <v>9</v>
      </c>
      <c r="AV48" s="5" t="s">
        <v>546</v>
      </c>
      <c r="AW48" s="1" t="s">
        <v>37</v>
      </c>
      <c r="AX48" s="1" t="s">
        <v>37</v>
      </c>
    </row>
    <row r="49" spans="36:50" x14ac:dyDescent="0.25">
      <c r="AJ49" s="5" t="s">
        <v>368</v>
      </c>
      <c r="AK49" s="1" t="s">
        <v>649</v>
      </c>
      <c r="AL49" s="6">
        <v>70000</v>
      </c>
      <c r="AN49" s="1" t="s">
        <v>884</v>
      </c>
      <c r="AO49" s="5" t="s">
        <v>52</v>
      </c>
      <c r="AP49" s="1">
        <v>1</v>
      </c>
      <c r="AQ49" s="2">
        <v>310000</v>
      </c>
      <c r="AR49" s="1">
        <v>6</v>
      </c>
      <c r="AS49" s="1">
        <v>6</v>
      </c>
      <c r="AT49" s="1">
        <v>2</v>
      </c>
      <c r="AU49" s="1">
        <v>8</v>
      </c>
      <c r="AV49" s="5" t="s">
        <v>133</v>
      </c>
      <c r="AW49" s="1" t="s">
        <v>37</v>
      </c>
      <c r="AX49" s="1" t="s">
        <v>37</v>
      </c>
    </row>
    <row r="50" spans="36:50" x14ac:dyDescent="0.25">
      <c r="AJ50" s="5" t="s">
        <v>674</v>
      </c>
      <c r="AK50" s="1" t="s">
        <v>647</v>
      </c>
      <c r="AL50" s="6">
        <v>70000</v>
      </c>
      <c r="AN50" s="1" t="s">
        <v>884</v>
      </c>
      <c r="AO50" s="99" t="s">
        <v>867</v>
      </c>
      <c r="AP50" s="92">
        <v>1</v>
      </c>
      <c r="AQ50" s="100">
        <v>380000</v>
      </c>
      <c r="AR50" s="92">
        <v>5</v>
      </c>
      <c r="AS50" s="92">
        <v>6</v>
      </c>
      <c r="AT50" s="92">
        <v>2</v>
      </c>
      <c r="AU50" s="92">
        <v>10</v>
      </c>
      <c r="AV50" s="99" t="s">
        <v>864</v>
      </c>
      <c r="AW50" s="1" t="s">
        <v>37</v>
      </c>
      <c r="AX50" s="1" t="s">
        <v>37</v>
      </c>
    </row>
    <row r="51" spans="36:50" x14ac:dyDescent="0.25">
      <c r="AJ51" s="5" t="s">
        <v>364</v>
      </c>
      <c r="AK51" s="1" t="s">
        <v>650</v>
      </c>
      <c r="AL51" s="6">
        <v>70000</v>
      </c>
      <c r="AN51" s="1" t="s">
        <v>884</v>
      </c>
      <c r="AO51" s="99" t="s">
        <v>877</v>
      </c>
      <c r="AP51" s="92">
        <v>16</v>
      </c>
      <c r="AQ51" s="100">
        <v>400000</v>
      </c>
      <c r="AR51" s="92">
        <v>6</v>
      </c>
      <c r="AS51" s="92">
        <v>7</v>
      </c>
      <c r="AT51" s="92">
        <v>2</v>
      </c>
      <c r="AU51" s="92">
        <v>10</v>
      </c>
      <c r="AV51" s="99" t="s">
        <v>878</v>
      </c>
      <c r="AW51" s="1" t="s">
        <v>37</v>
      </c>
      <c r="AX51" s="1" t="s">
        <v>37</v>
      </c>
    </row>
    <row r="52" spans="36:50" x14ac:dyDescent="0.25">
      <c r="AJ52" s="5" t="s">
        <v>675</v>
      </c>
      <c r="AK52" s="1" t="s">
        <v>650</v>
      </c>
      <c r="AL52" s="6">
        <v>70000</v>
      </c>
      <c r="AN52" s="1" t="s">
        <v>884</v>
      </c>
      <c r="AO52" s="5" t="s">
        <v>35</v>
      </c>
      <c r="AP52" s="1">
        <v>1</v>
      </c>
      <c r="AQ52" s="2">
        <v>430000</v>
      </c>
      <c r="AR52" s="1">
        <v>6</v>
      </c>
      <c r="AS52" s="1">
        <v>6</v>
      </c>
      <c r="AT52" s="1">
        <v>3</v>
      </c>
      <c r="AU52" s="1">
        <v>10</v>
      </c>
      <c r="AV52" s="5" t="s">
        <v>151</v>
      </c>
      <c r="AW52" s="1" t="s">
        <v>37</v>
      </c>
      <c r="AX52" s="1" t="s">
        <v>37</v>
      </c>
    </row>
    <row r="53" spans="36:50" x14ac:dyDescent="0.25">
      <c r="AJ53" s="5" t="s">
        <v>365</v>
      </c>
      <c r="AK53" s="1" t="s">
        <v>649</v>
      </c>
      <c r="AL53" s="6">
        <v>60000</v>
      </c>
      <c r="AN53" s="1" t="s">
        <v>661</v>
      </c>
      <c r="AO53" s="5"/>
      <c r="AP53" s="1"/>
      <c r="AQ53"/>
      <c r="AR53" s="1"/>
      <c r="AS53" s="1"/>
      <c r="AT53" s="1"/>
      <c r="AU53" s="1"/>
      <c r="AV53"/>
      <c r="AW53" s="1"/>
      <c r="AX53" s="1"/>
    </row>
    <row r="54" spans="36:50" x14ac:dyDescent="0.25">
      <c r="AJ54" s="5" t="s">
        <v>676</v>
      </c>
      <c r="AK54" s="1" t="s">
        <v>647</v>
      </c>
      <c r="AL54" s="6">
        <v>70000</v>
      </c>
      <c r="AN54" s="1" t="s">
        <v>661</v>
      </c>
      <c r="AO54" s="5" t="s">
        <v>55</v>
      </c>
      <c r="AP54" s="1">
        <v>16</v>
      </c>
      <c r="AQ54" s="2">
        <v>40000</v>
      </c>
      <c r="AR54" s="1">
        <v>6</v>
      </c>
      <c r="AS54" s="1">
        <v>3</v>
      </c>
      <c r="AT54" s="1">
        <v>3</v>
      </c>
      <c r="AU54" s="1">
        <v>7</v>
      </c>
      <c r="AV54" t="s">
        <v>647</v>
      </c>
      <c r="AW54" s="1" t="s">
        <v>22</v>
      </c>
      <c r="AX54" s="1" t="s">
        <v>26</v>
      </c>
    </row>
    <row r="55" spans="36:50" x14ac:dyDescent="0.25">
      <c r="AJ55" s="5" t="s">
        <v>366</v>
      </c>
      <c r="AK55" s="1" t="s">
        <v>649</v>
      </c>
      <c r="AL55" s="6">
        <v>70000</v>
      </c>
      <c r="AN55" s="1" t="s">
        <v>661</v>
      </c>
      <c r="AO55" s="5" t="s">
        <v>56</v>
      </c>
      <c r="AP55" s="1">
        <v>6</v>
      </c>
      <c r="AQ55" s="2">
        <v>70000</v>
      </c>
      <c r="AR55" s="1">
        <v>4</v>
      </c>
      <c r="AS55" s="1">
        <v>3</v>
      </c>
      <c r="AT55" s="1">
        <v>2</v>
      </c>
      <c r="AU55" s="1">
        <v>9</v>
      </c>
      <c r="AV55" t="s">
        <v>58</v>
      </c>
      <c r="AW55" s="1" t="s">
        <v>25</v>
      </c>
      <c r="AX55" s="1" t="s">
        <v>59</v>
      </c>
    </row>
    <row r="56" spans="36:50" x14ac:dyDescent="0.25">
      <c r="AJ56" s="5" t="s">
        <v>367</v>
      </c>
      <c r="AK56" s="1" t="s">
        <v>649</v>
      </c>
      <c r="AL56" s="6">
        <v>60000</v>
      </c>
      <c r="AN56" s="1" t="s">
        <v>661</v>
      </c>
      <c r="AO56" s="5" t="s">
        <v>57</v>
      </c>
      <c r="AP56" s="1">
        <v>2</v>
      </c>
      <c r="AQ56" s="2">
        <v>130000</v>
      </c>
      <c r="AR56" s="1">
        <v>6</v>
      </c>
      <c r="AS56" s="1">
        <v>4</v>
      </c>
      <c r="AT56" s="1">
        <v>2</v>
      </c>
      <c r="AU56" s="1">
        <v>9</v>
      </c>
      <c r="AV56" t="s">
        <v>60</v>
      </c>
      <c r="AW56" s="1" t="s">
        <v>25</v>
      </c>
      <c r="AX56" s="1" t="s">
        <v>29</v>
      </c>
    </row>
    <row r="57" spans="36:50" x14ac:dyDescent="0.25">
      <c r="AJ57" s="5" t="s">
        <v>677</v>
      </c>
      <c r="AK57" s="1" t="s">
        <v>649</v>
      </c>
      <c r="AL57" s="6">
        <v>70000</v>
      </c>
      <c r="AN57" s="1" t="s">
        <v>661</v>
      </c>
      <c r="AO57" s="5" t="s">
        <v>42</v>
      </c>
      <c r="AP57" s="1">
        <v>1</v>
      </c>
      <c r="AQ57" s="2">
        <v>150000</v>
      </c>
      <c r="AR57" s="1">
        <v>5</v>
      </c>
      <c r="AS57" s="1">
        <v>5</v>
      </c>
      <c r="AT57" s="1">
        <v>2</v>
      </c>
      <c r="AU57" s="1">
        <v>8</v>
      </c>
      <c r="AV57" t="s">
        <v>43</v>
      </c>
      <c r="AW57" s="1" t="s">
        <v>61</v>
      </c>
      <c r="AX57" s="1" t="s">
        <v>62</v>
      </c>
    </row>
    <row r="58" spans="36:50" x14ac:dyDescent="0.25">
      <c r="AJ58" s="5" t="s">
        <v>678</v>
      </c>
      <c r="AK58" s="1" t="s">
        <v>649</v>
      </c>
      <c r="AL58" s="6">
        <v>60000</v>
      </c>
      <c r="AN58" s="1" t="s">
        <v>661</v>
      </c>
      <c r="AO58" s="5" t="s">
        <v>46</v>
      </c>
      <c r="AP58" s="1">
        <v>11</v>
      </c>
      <c r="AQ58" s="2">
        <v>40000</v>
      </c>
      <c r="AR58" s="1">
        <v>6</v>
      </c>
      <c r="AS58" s="1">
        <v>3</v>
      </c>
      <c r="AT58" s="1">
        <v>3</v>
      </c>
      <c r="AU58" s="1">
        <v>7</v>
      </c>
      <c r="AV58" t="s">
        <v>65</v>
      </c>
      <c r="AW58" s="1" t="s">
        <v>22</v>
      </c>
      <c r="AX58" s="1" t="s">
        <v>26</v>
      </c>
    </row>
    <row r="59" spans="36:50" x14ac:dyDescent="0.25">
      <c r="AJ59" s="5" t="s">
        <v>679</v>
      </c>
      <c r="AK59" s="1" t="s">
        <v>649</v>
      </c>
      <c r="AL59" s="6">
        <v>60000</v>
      </c>
      <c r="AN59" s="1" t="s">
        <v>661</v>
      </c>
      <c r="AO59" s="5" t="s">
        <v>66</v>
      </c>
      <c r="AP59" s="1">
        <v>1</v>
      </c>
      <c r="AQ59" s="2">
        <v>90000</v>
      </c>
      <c r="AR59" s="1">
        <v>4</v>
      </c>
      <c r="AS59" s="1">
        <v>4</v>
      </c>
      <c r="AT59" s="1">
        <v>3</v>
      </c>
      <c r="AU59" s="1">
        <v>9</v>
      </c>
      <c r="AV59" s="5" t="s">
        <v>581</v>
      </c>
      <c r="AW59" s="1" t="s">
        <v>37</v>
      </c>
      <c r="AX59" s="1" t="s">
        <v>37</v>
      </c>
    </row>
    <row r="60" spans="36:50" x14ac:dyDescent="0.25">
      <c r="AJ60" s="5" t="s">
        <v>680</v>
      </c>
      <c r="AK60" s="1" t="s">
        <v>649</v>
      </c>
      <c r="AL60" s="6">
        <v>50000</v>
      </c>
      <c r="AN60" s="1" t="s">
        <v>661</v>
      </c>
      <c r="AO60" s="5" t="s">
        <v>67</v>
      </c>
      <c r="AP60" s="1">
        <v>1</v>
      </c>
      <c r="AQ60" s="2">
        <v>130000</v>
      </c>
      <c r="AR60" s="1">
        <v>6</v>
      </c>
      <c r="AS60" s="1">
        <v>2</v>
      </c>
      <c r="AT60" s="1">
        <v>3</v>
      </c>
      <c r="AU60" s="1">
        <v>7</v>
      </c>
      <c r="AV60" s="5" t="s">
        <v>152</v>
      </c>
      <c r="AW60" s="1" t="s">
        <v>37</v>
      </c>
      <c r="AX60" s="1" t="s">
        <v>37</v>
      </c>
    </row>
    <row r="61" spans="36:50" x14ac:dyDescent="0.25">
      <c r="AJ61" s="5" t="s">
        <v>369</v>
      </c>
      <c r="AK61" s="1" t="s">
        <v>649</v>
      </c>
      <c r="AL61" s="6">
        <v>70000</v>
      </c>
      <c r="AN61" s="1" t="s">
        <v>661</v>
      </c>
      <c r="AO61" s="5" t="s">
        <v>68</v>
      </c>
      <c r="AP61" s="1">
        <v>1</v>
      </c>
      <c r="AQ61" s="2">
        <v>200000</v>
      </c>
      <c r="AR61" s="1">
        <v>7</v>
      </c>
      <c r="AS61" s="1">
        <v>3</v>
      </c>
      <c r="AT61" s="1">
        <v>3</v>
      </c>
      <c r="AU61" s="1">
        <v>7</v>
      </c>
      <c r="AV61" s="5" t="s">
        <v>157</v>
      </c>
      <c r="AW61" s="1" t="s">
        <v>37</v>
      </c>
      <c r="AX61" s="1" t="s">
        <v>37</v>
      </c>
    </row>
    <row r="62" spans="36:50" x14ac:dyDescent="0.25">
      <c r="AJ62" s="5"/>
      <c r="AK62"/>
      <c r="AL62" s="1"/>
      <c r="AN62" s="1" t="s">
        <v>661</v>
      </c>
      <c r="AO62" s="5" t="s">
        <v>52</v>
      </c>
      <c r="AP62" s="1">
        <v>1</v>
      </c>
      <c r="AQ62" s="2">
        <v>310000</v>
      </c>
      <c r="AR62" s="1">
        <v>6</v>
      </c>
      <c r="AS62" s="1">
        <v>6</v>
      </c>
      <c r="AT62" s="1">
        <v>2</v>
      </c>
      <c r="AU62" s="1">
        <v>8</v>
      </c>
      <c r="AV62" s="5" t="s">
        <v>133</v>
      </c>
      <c r="AW62" s="1" t="s">
        <v>37</v>
      </c>
      <c r="AX62" s="1" t="s">
        <v>37</v>
      </c>
    </row>
    <row r="63" spans="36:50" x14ac:dyDescent="0.25">
      <c r="AK63" s="146" t="s">
        <v>655</v>
      </c>
      <c r="AL63" s="146"/>
      <c r="AN63" s="1" t="s">
        <v>661</v>
      </c>
      <c r="AO63" s="5" t="s">
        <v>69</v>
      </c>
      <c r="AP63" s="1">
        <v>1</v>
      </c>
      <c r="AQ63" s="2">
        <v>330000</v>
      </c>
      <c r="AR63" s="1">
        <v>6</v>
      </c>
      <c r="AS63" s="1">
        <v>5</v>
      </c>
      <c r="AT63" s="1">
        <v>2</v>
      </c>
      <c r="AU63" s="1">
        <v>9</v>
      </c>
      <c r="AV63" s="5" t="s">
        <v>141</v>
      </c>
      <c r="AW63" s="1" t="s">
        <v>37</v>
      </c>
      <c r="AX63" s="1" t="s">
        <v>37</v>
      </c>
    </row>
    <row r="64" spans="36:50" x14ac:dyDescent="0.25">
      <c r="AK64" s="7" t="s">
        <v>660</v>
      </c>
      <c r="AL64" s="6"/>
      <c r="AN64" s="1" t="s">
        <v>661</v>
      </c>
      <c r="AO64" s="99" t="s">
        <v>867</v>
      </c>
      <c r="AP64" s="92">
        <v>1</v>
      </c>
      <c r="AQ64" s="100">
        <v>380000</v>
      </c>
      <c r="AR64" s="92">
        <v>5</v>
      </c>
      <c r="AS64" s="92">
        <v>6</v>
      </c>
      <c r="AT64" s="92">
        <v>2</v>
      </c>
      <c r="AU64" s="92">
        <v>10</v>
      </c>
      <c r="AV64" s="99" t="s">
        <v>864</v>
      </c>
      <c r="AW64" s="1" t="s">
        <v>37</v>
      </c>
      <c r="AX64" s="1" t="s">
        <v>37</v>
      </c>
    </row>
    <row r="65" spans="37:50" x14ac:dyDescent="0.25">
      <c r="AK65" s="5" t="s">
        <v>656</v>
      </c>
      <c r="AL65" s="6">
        <v>50000</v>
      </c>
      <c r="AN65" s="1" t="s">
        <v>661</v>
      </c>
      <c r="AO65" s="99" t="s">
        <v>877</v>
      </c>
      <c r="AP65" s="92">
        <v>16</v>
      </c>
      <c r="AQ65" s="100">
        <v>400000</v>
      </c>
      <c r="AR65" s="92">
        <v>6</v>
      </c>
      <c r="AS65" s="92">
        <v>7</v>
      </c>
      <c r="AT65" s="92">
        <v>2</v>
      </c>
      <c r="AU65" s="92">
        <v>10</v>
      </c>
      <c r="AV65" s="99" t="s">
        <v>878</v>
      </c>
      <c r="AW65" s="1" t="s">
        <v>37</v>
      </c>
      <c r="AX65" s="1" t="s">
        <v>37</v>
      </c>
    </row>
    <row r="66" spans="37:50" x14ac:dyDescent="0.25">
      <c r="AK66" s="5" t="s">
        <v>657</v>
      </c>
      <c r="AL66" s="6">
        <v>50000</v>
      </c>
      <c r="AN66" s="1" t="s">
        <v>661</v>
      </c>
      <c r="AO66" s="5" t="s">
        <v>35</v>
      </c>
      <c r="AP66" s="1">
        <v>1</v>
      </c>
      <c r="AQ66" s="2">
        <v>430000</v>
      </c>
      <c r="AR66" s="1">
        <v>6</v>
      </c>
      <c r="AS66" s="1">
        <v>6</v>
      </c>
      <c r="AT66" s="1">
        <v>3</v>
      </c>
      <c r="AU66" s="1">
        <v>10</v>
      </c>
      <c r="AV66" s="5" t="s">
        <v>151</v>
      </c>
      <c r="AW66" s="1" t="s">
        <v>37</v>
      </c>
      <c r="AX66" s="1" t="s">
        <v>37</v>
      </c>
    </row>
    <row r="67" spans="37:50" x14ac:dyDescent="0.25">
      <c r="AK67" s="5" t="s">
        <v>658</v>
      </c>
      <c r="AL67" s="6">
        <v>50000</v>
      </c>
      <c r="AN67" s="1" t="s">
        <v>885</v>
      </c>
      <c r="AO67" s="5"/>
      <c r="AP67" s="1"/>
      <c r="AQ67" s="2"/>
      <c r="AR67" s="1"/>
      <c r="AS67" s="1"/>
      <c r="AT67" s="1"/>
      <c r="AU67" s="1"/>
      <c r="AV67" s="5"/>
      <c r="AW67" s="1"/>
      <c r="AX67" s="1"/>
    </row>
    <row r="68" spans="37:50" x14ac:dyDescent="0.25">
      <c r="AK68" s="5" t="s">
        <v>659</v>
      </c>
      <c r="AL68" s="6">
        <v>80000</v>
      </c>
      <c r="AN68" s="1" t="s">
        <v>885</v>
      </c>
      <c r="AO68" s="5" t="s">
        <v>212</v>
      </c>
      <c r="AP68" s="1">
        <v>12</v>
      </c>
      <c r="AQ68" s="2">
        <v>50000</v>
      </c>
      <c r="AR68" s="1">
        <v>6</v>
      </c>
      <c r="AS68" s="1">
        <v>3</v>
      </c>
      <c r="AT68" s="1">
        <v>3</v>
      </c>
      <c r="AU68" s="1">
        <v>8</v>
      </c>
      <c r="AV68" s="5" t="s">
        <v>647</v>
      </c>
      <c r="AW68" s="1" t="s">
        <v>280</v>
      </c>
      <c r="AX68" s="1" t="s">
        <v>85</v>
      </c>
    </row>
    <row r="69" spans="37:50" x14ac:dyDescent="0.25">
      <c r="AK69" s="5" t="s">
        <v>689</v>
      </c>
      <c r="AL69" s="6">
        <v>80000</v>
      </c>
      <c r="AN69" s="1" t="s">
        <v>885</v>
      </c>
      <c r="AO69" s="5" t="s">
        <v>213</v>
      </c>
      <c r="AP69" s="1">
        <v>1</v>
      </c>
      <c r="AQ69" s="2">
        <v>40000</v>
      </c>
      <c r="AR69" s="1">
        <v>6</v>
      </c>
      <c r="AS69" s="1">
        <v>2</v>
      </c>
      <c r="AT69" s="1">
        <v>3</v>
      </c>
      <c r="AU69" s="1">
        <v>7</v>
      </c>
      <c r="AV69" t="s">
        <v>244</v>
      </c>
      <c r="AW69" s="1" t="s">
        <v>281</v>
      </c>
      <c r="AX69" s="1" t="s">
        <v>284</v>
      </c>
    </row>
    <row r="70" spans="37:50" x14ac:dyDescent="0.25">
      <c r="AK70" s="92" t="s">
        <v>685</v>
      </c>
      <c r="AN70" s="1" t="s">
        <v>885</v>
      </c>
      <c r="AO70" s="5" t="s">
        <v>214</v>
      </c>
      <c r="AP70" s="1">
        <v>1</v>
      </c>
      <c r="AQ70" s="2">
        <v>50000</v>
      </c>
      <c r="AR70" s="1">
        <v>7</v>
      </c>
      <c r="AS70" s="1">
        <v>3</v>
      </c>
      <c r="AT70" s="1">
        <v>3</v>
      </c>
      <c r="AU70" s="1">
        <v>7</v>
      </c>
      <c r="AV70" t="s">
        <v>245</v>
      </c>
      <c r="AW70" s="1" t="s">
        <v>282</v>
      </c>
      <c r="AX70" s="1" t="s">
        <v>26</v>
      </c>
    </row>
    <row r="71" spans="37:50" x14ac:dyDescent="0.25">
      <c r="AK71" s="99" t="s">
        <v>684</v>
      </c>
      <c r="AL71" s="93">
        <v>50000</v>
      </c>
      <c r="AN71" s="1" t="s">
        <v>885</v>
      </c>
      <c r="AO71" s="5" t="s">
        <v>215</v>
      </c>
      <c r="AP71" s="1">
        <v>1</v>
      </c>
      <c r="AQ71" s="2">
        <v>50000</v>
      </c>
      <c r="AR71" s="1">
        <v>5</v>
      </c>
      <c r="AS71" s="1">
        <v>3</v>
      </c>
      <c r="AT71" s="1">
        <v>3</v>
      </c>
      <c r="AU71" s="1">
        <v>9</v>
      </c>
      <c r="AV71" t="s">
        <v>245</v>
      </c>
      <c r="AW71" s="1" t="s">
        <v>282</v>
      </c>
      <c r="AX71" s="1" t="s">
        <v>26</v>
      </c>
    </row>
    <row r="72" spans="37:50" x14ac:dyDescent="0.25">
      <c r="AK72" s="99" t="s">
        <v>686</v>
      </c>
      <c r="AL72" s="93">
        <v>50000</v>
      </c>
      <c r="AN72" s="1" t="s">
        <v>885</v>
      </c>
      <c r="AO72" s="5" t="s">
        <v>216</v>
      </c>
      <c r="AP72" s="1">
        <v>1</v>
      </c>
      <c r="AQ72" s="2">
        <v>70000</v>
      </c>
      <c r="AR72" s="1">
        <v>6</v>
      </c>
      <c r="AS72" s="1">
        <v>3</v>
      </c>
      <c r="AT72" s="1">
        <v>4</v>
      </c>
      <c r="AU72" s="1">
        <v>8</v>
      </c>
      <c r="AV72" t="s">
        <v>245</v>
      </c>
      <c r="AW72" s="1" t="s">
        <v>283</v>
      </c>
      <c r="AX72" s="1" t="s">
        <v>28</v>
      </c>
    </row>
    <row r="73" spans="37:50" x14ac:dyDescent="0.25">
      <c r="AK73" s="99" t="s">
        <v>687</v>
      </c>
      <c r="AL73" s="93">
        <v>50000</v>
      </c>
      <c r="AN73" s="1" t="s">
        <v>885</v>
      </c>
      <c r="AO73" s="5" t="s">
        <v>217</v>
      </c>
      <c r="AP73" s="1">
        <v>1</v>
      </c>
      <c r="AQ73" s="2">
        <v>110000</v>
      </c>
      <c r="AR73" s="1">
        <v>4</v>
      </c>
      <c r="AS73" s="1">
        <v>5</v>
      </c>
      <c r="AT73" s="1">
        <v>1</v>
      </c>
      <c r="AU73" s="1">
        <v>9</v>
      </c>
      <c r="AV73" t="s">
        <v>229</v>
      </c>
      <c r="AW73" s="1" t="s">
        <v>61</v>
      </c>
      <c r="AX73" s="1" t="s">
        <v>62</v>
      </c>
    </row>
    <row r="74" spans="37:50" x14ac:dyDescent="0.25">
      <c r="AK74" s="99" t="s">
        <v>688</v>
      </c>
      <c r="AL74" s="93">
        <v>80000</v>
      </c>
      <c r="AN74" s="1" t="s">
        <v>885</v>
      </c>
      <c r="AO74" s="5" t="s">
        <v>218</v>
      </c>
      <c r="AP74" s="1">
        <v>1</v>
      </c>
      <c r="AQ74" s="2">
        <v>140000</v>
      </c>
      <c r="AR74" s="1">
        <v>5</v>
      </c>
      <c r="AS74" s="1">
        <v>5</v>
      </c>
      <c r="AT74" s="1">
        <v>2</v>
      </c>
      <c r="AU74" s="1">
        <v>9</v>
      </c>
      <c r="AV74" t="s">
        <v>246</v>
      </c>
      <c r="AW74" s="1" t="s">
        <v>61</v>
      </c>
      <c r="AX74" s="1" t="s">
        <v>62</v>
      </c>
    </row>
    <row r="75" spans="37:50" x14ac:dyDescent="0.25">
      <c r="AK75" s="99" t="s">
        <v>690</v>
      </c>
      <c r="AL75" s="93">
        <v>80000</v>
      </c>
      <c r="AN75" s="1" t="s">
        <v>885</v>
      </c>
      <c r="AO75" s="5" t="s">
        <v>42</v>
      </c>
      <c r="AP75" s="1">
        <v>1</v>
      </c>
      <c r="AQ75" s="2">
        <v>150000</v>
      </c>
      <c r="AR75" s="1">
        <v>5</v>
      </c>
      <c r="AS75" s="1">
        <v>5</v>
      </c>
      <c r="AT75" s="1">
        <v>2</v>
      </c>
      <c r="AU75" s="1">
        <v>8</v>
      </c>
      <c r="AV75" t="s">
        <v>43</v>
      </c>
      <c r="AW75" s="1" t="s">
        <v>61</v>
      </c>
      <c r="AX75" s="1" t="s">
        <v>62</v>
      </c>
    </row>
    <row r="76" spans="37:50" x14ac:dyDescent="0.25">
      <c r="AK76" s="146" t="s">
        <v>653</v>
      </c>
      <c r="AL76" s="146"/>
      <c r="AN76" s="1" t="s">
        <v>885</v>
      </c>
      <c r="AO76" s="5" t="s">
        <v>46</v>
      </c>
      <c r="AP76" s="1">
        <v>11</v>
      </c>
      <c r="AQ76" s="2">
        <v>50000</v>
      </c>
      <c r="AR76" s="1">
        <v>6</v>
      </c>
      <c r="AS76" s="1">
        <v>3</v>
      </c>
      <c r="AT76" s="1">
        <v>3</v>
      </c>
      <c r="AU76" s="1">
        <v>8</v>
      </c>
      <c r="AV76" t="s">
        <v>65</v>
      </c>
      <c r="AW76" s="1" t="s">
        <v>280</v>
      </c>
      <c r="AX76" s="1" t="s">
        <v>85</v>
      </c>
    </row>
    <row r="77" spans="37:50" x14ac:dyDescent="0.25">
      <c r="AK77" s="1" t="s">
        <v>682</v>
      </c>
      <c r="AN77" s="1" t="s">
        <v>885</v>
      </c>
      <c r="AO77" s="5" t="s">
        <v>91</v>
      </c>
      <c r="AP77" s="1">
        <v>1</v>
      </c>
      <c r="AQ77" s="2">
        <v>60000</v>
      </c>
      <c r="AR77" s="1">
        <v>6</v>
      </c>
      <c r="AS77" s="1">
        <v>2</v>
      </c>
      <c r="AT77" s="1">
        <v>3</v>
      </c>
      <c r="AU77" s="1">
        <v>7</v>
      </c>
      <c r="AV77" s="5" t="s">
        <v>92</v>
      </c>
      <c r="AW77" s="1" t="s">
        <v>37</v>
      </c>
      <c r="AX77" s="1" t="s">
        <v>37</v>
      </c>
    </row>
    <row r="78" spans="37:50" x14ac:dyDescent="0.25">
      <c r="AK78" s="5" t="s">
        <v>718</v>
      </c>
      <c r="AL78" s="93">
        <v>80000</v>
      </c>
      <c r="AN78" s="1" t="s">
        <v>885</v>
      </c>
      <c r="AO78" s="5" t="s">
        <v>66</v>
      </c>
      <c r="AP78" s="1">
        <v>1</v>
      </c>
      <c r="AQ78" s="2">
        <v>90000</v>
      </c>
      <c r="AR78" s="1">
        <v>4</v>
      </c>
      <c r="AS78" s="1">
        <v>4</v>
      </c>
      <c r="AT78" s="1">
        <v>3</v>
      </c>
      <c r="AU78" s="1">
        <v>9</v>
      </c>
      <c r="AV78" s="5" t="s">
        <v>581</v>
      </c>
      <c r="AW78" s="1" t="s">
        <v>37</v>
      </c>
      <c r="AX78" s="1" t="s">
        <v>37</v>
      </c>
    </row>
    <row r="79" spans="37:50" x14ac:dyDescent="0.25">
      <c r="AK79" s="99" t="s">
        <v>719</v>
      </c>
      <c r="AL79" s="93">
        <v>150000</v>
      </c>
      <c r="AN79" s="1" t="s">
        <v>885</v>
      </c>
      <c r="AO79" s="5" t="s">
        <v>288</v>
      </c>
      <c r="AP79" s="1">
        <v>1</v>
      </c>
      <c r="AQ79" s="2">
        <v>100000</v>
      </c>
      <c r="AR79" s="1">
        <v>5</v>
      </c>
      <c r="AS79" s="1">
        <v>3</v>
      </c>
      <c r="AT79" s="1">
        <v>3</v>
      </c>
      <c r="AU79" s="1">
        <v>9</v>
      </c>
      <c r="AV79" s="5" t="s">
        <v>149</v>
      </c>
      <c r="AW79" s="1" t="s">
        <v>37</v>
      </c>
      <c r="AX79" s="1" t="s">
        <v>37</v>
      </c>
    </row>
    <row r="80" spans="37:50" x14ac:dyDescent="0.25">
      <c r="AK80" s="99" t="s">
        <v>739</v>
      </c>
      <c r="AL80" s="93">
        <v>150000</v>
      </c>
      <c r="AN80" s="1" t="s">
        <v>885</v>
      </c>
      <c r="AO80" s="5" t="s">
        <v>30</v>
      </c>
      <c r="AP80" s="1">
        <v>1</v>
      </c>
      <c r="AQ80" s="2">
        <v>110000</v>
      </c>
      <c r="AR80" s="1">
        <v>6</v>
      </c>
      <c r="AS80" s="1">
        <v>3</v>
      </c>
      <c r="AT80" s="1">
        <v>3</v>
      </c>
      <c r="AU80" s="1">
        <v>8</v>
      </c>
      <c r="AV80" s="5" t="s">
        <v>138</v>
      </c>
      <c r="AW80" s="1" t="s">
        <v>37</v>
      </c>
      <c r="AX80" s="1" t="s">
        <v>37</v>
      </c>
    </row>
    <row r="81" spans="36:50" x14ac:dyDescent="0.25">
      <c r="AK81" s="99" t="s">
        <v>871</v>
      </c>
      <c r="AL81" s="93">
        <v>150000</v>
      </c>
      <c r="AN81" s="1" t="s">
        <v>885</v>
      </c>
      <c r="AO81" s="5" t="s">
        <v>97</v>
      </c>
      <c r="AP81" s="1">
        <v>1</v>
      </c>
      <c r="AQ81" s="2">
        <v>120000</v>
      </c>
      <c r="AR81" s="1">
        <v>6</v>
      </c>
      <c r="AS81" s="1">
        <v>3</v>
      </c>
      <c r="AT81" s="1">
        <v>3</v>
      </c>
      <c r="AU81" s="1">
        <v>8</v>
      </c>
      <c r="AV81" s="5" t="s">
        <v>98</v>
      </c>
      <c r="AW81" s="1" t="s">
        <v>37</v>
      </c>
      <c r="AX81" s="1" t="s">
        <v>37</v>
      </c>
    </row>
    <row r="82" spans="36:50" x14ac:dyDescent="0.25">
      <c r="AK82" s="99" t="s">
        <v>741</v>
      </c>
      <c r="AL82" s="93">
        <v>150000</v>
      </c>
      <c r="AN82" s="1" t="s">
        <v>885</v>
      </c>
      <c r="AO82" s="5" t="s">
        <v>48</v>
      </c>
      <c r="AP82" s="1">
        <v>1</v>
      </c>
      <c r="AQ82" s="2">
        <v>160000</v>
      </c>
      <c r="AR82" s="1">
        <v>6</v>
      </c>
      <c r="AS82" s="1">
        <v>3</v>
      </c>
      <c r="AT82" s="1">
        <v>3</v>
      </c>
      <c r="AU82" s="1">
        <v>9</v>
      </c>
      <c r="AV82" s="5" t="s">
        <v>702</v>
      </c>
      <c r="AW82" s="1" t="s">
        <v>37</v>
      </c>
      <c r="AX82" s="1" t="s">
        <v>37</v>
      </c>
    </row>
    <row r="83" spans="36:50" x14ac:dyDescent="0.25">
      <c r="AK83" s="99" t="s">
        <v>777</v>
      </c>
      <c r="AL83" s="93">
        <v>150000</v>
      </c>
      <c r="AN83" s="1" t="s">
        <v>885</v>
      </c>
      <c r="AO83" s="99" t="s">
        <v>703</v>
      </c>
      <c r="AP83" s="1">
        <v>1</v>
      </c>
      <c r="AQ83" s="100">
        <v>170000</v>
      </c>
      <c r="AR83" s="1">
        <v>6</v>
      </c>
      <c r="AS83" s="1">
        <v>3</v>
      </c>
      <c r="AT83" s="1">
        <v>3</v>
      </c>
      <c r="AU83" s="1">
        <v>8</v>
      </c>
      <c r="AV83" s="99" t="s">
        <v>704</v>
      </c>
      <c r="AW83" s="1" t="s">
        <v>37</v>
      </c>
      <c r="AX83" s="1" t="s">
        <v>37</v>
      </c>
    </row>
    <row r="84" spans="36:50" x14ac:dyDescent="0.25">
      <c r="AK84" s="5" t="s">
        <v>652</v>
      </c>
      <c r="AL84" s="93">
        <v>150000</v>
      </c>
      <c r="AN84" s="1" t="s">
        <v>885</v>
      </c>
      <c r="AO84" s="5" t="s">
        <v>127</v>
      </c>
      <c r="AP84" s="1">
        <v>1</v>
      </c>
      <c r="AQ84" s="2">
        <v>210000</v>
      </c>
      <c r="AR84" s="1">
        <v>5</v>
      </c>
      <c r="AS84" s="1">
        <v>3</v>
      </c>
      <c r="AT84" s="1">
        <v>4</v>
      </c>
      <c r="AU84" s="1">
        <v>9</v>
      </c>
      <c r="AV84" s="5" t="s">
        <v>172</v>
      </c>
      <c r="AW84" s="1" t="s">
        <v>37</v>
      </c>
      <c r="AX84" s="1" t="s">
        <v>37</v>
      </c>
    </row>
    <row r="85" spans="36:50" x14ac:dyDescent="0.25">
      <c r="AK85" s="1" t="s">
        <v>681</v>
      </c>
      <c r="AN85" s="1" t="s">
        <v>885</v>
      </c>
      <c r="AO85" s="5" t="s">
        <v>707</v>
      </c>
      <c r="AP85" s="1">
        <v>1</v>
      </c>
      <c r="AQ85" s="100">
        <v>230000</v>
      </c>
      <c r="AR85" s="1">
        <v>5</v>
      </c>
      <c r="AS85" s="1">
        <v>4</v>
      </c>
      <c r="AT85" s="1">
        <v>2</v>
      </c>
      <c r="AU85" s="1">
        <v>9</v>
      </c>
      <c r="AV85" s="99" t="s">
        <v>708</v>
      </c>
      <c r="AW85" s="1" t="s">
        <v>37</v>
      </c>
      <c r="AX85" s="1" t="s">
        <v>37</v>
      </c>
    </row>
    <row r="86" spans="36:50" x14ac:dyDescent="0.25">
      <c r="AK86" s="5" t="s">
        <v>718</v>
      </c>
      <c r="AL86" s="93">
        <v>80000</v>
      </c>
      <c r="AN86" s="1" t="s">
        <v>885</v>
      </c>
      <c r="AO86" s="99" t="s">
        <v>867</v>
      </c>
      <c r="AP86" s="92">
        <v>1</v>
      </c>
      <c r="AQ86" s="100">
        <v>380000</v>
      </c>
      <c r="AR86" s="92">
        <v>5</v>
      </c>
      <c r="AS86" s="92">
        <v>6</v>
      </c>
      <c r="AT86" s="92">
        <v>2</v>
      </c>
      <c r="AU86" s="92">
        <v>10</v>
      </c>
      <c r="AV86" s="99" t="s">
        <v>864</v>
      </c>
      <c r="AW86" s="1" t="s">
        <v>37</v>
      </c>
      <c r="AX86" s="1" t="s">
        <v>37</v>
      </c>
    </row>
    <row r="87" spans="36:50" x14ac:dyDescent="0.25">
      <c r="AK87" s="99" t="s">
        <v>740</v>
      </c>
      <c r="AL87" s="93">
        <v>150000</v>
      </c>
      <c r="AN87" s="1" t="s">
        <v>885</v>
      </c>
      <c r="AO87" s="99" t="s">
        <v>877</v>
      </c>
      <c r="AP87" s="92">
        <v>16</v>
      </c>
      <c r="AQ87" s="100">
        <v>400000</v>
      </c>
      <c r="AR87" s="92">
        <v>6</v>
      </c>
      <c r="AS87" s="92">
        <v>7</v>
      </c>
      <c r="AT87" s="92">
        <v>2</v>
      </c>
      <c r="AU87" s="92">
        <v>10</v>
      </c>
      <c r="AV87" s="99" t="s">
        <v>878</v>
      </c>
      <c r="AW87" s="1" t="s">
        <v>37</v>
      </c>
      <c r="AX87" s="1" t="s">
        <v>37</v>
      </c>
    </row>
    <row r="88" spans="36:50" x14ac:dyDescent="0.25">
      <c r="AK88" s="5" t="s">
        <v>654</v>
      </c>
      <c r="AL88" s="93">
        <v>150000</v>
      </c>
      <c r="AN88" s="1" t="s">
        <v>885</v>
      </c>
      <c r="AO88" s="5" t="s">
        <v>35</v>
      </c>
      <c r="AP88" s="1">
        <v>1</v>
      </c>
      <c r="AQ88" s="2">
        <v>430000</v>
      </c>
      <c r="AR88" s="1">
        <v>6</v>
      </c>
      <c r="AS88" s="1">
        <v>6</v>
      </c>
      <c r="AT88" s="1">
        <v>3</v>
      </c>
      <c r="AU88" s="1">
        <v>10</v>
      </c>
      <c r="AV88" s="5" t="s">
        <v>151</v>
      </c>
      <c r="AW88" s="1" t="s">
        <v>37</v>
      </c>
      <c r="AX88" s="1" t="s">
        <v>37</v>
      </c>
    </row>
    <row r="89" spans="36:50" x14ac:dyDescent="0.25">
      <c r="AK89" s="99" t="s">
        <v>720</v>
      </c>
      <c r="AL89" s="93">
        <v>150000</v>
      </c>
      <c r="AN89" s="1" t="s">
        <v>662</v>
      </c>
      <c r="AO89" s="5"/>
      <c r="AP89" s="1"/>
      <c r="AQ89" s="2"/>
      <c r="AR89" s="1"/>
      <c r="AS89" s="1"/>
      <c r="AT89" s="1"/>
      <c r="AU89" s="1"/>
      <c r="AV89"/>
      <c r="AW89" s="1"/>
      <c r="AX89" s="1"/>
    </row>
    <row r="90" spans="36:50" x14ac:dyDescent="0.25">
      <c r="AK90" s="99" t="s">
        <v>872</v>
      </c>
      <c r="AL90" s="93">
        <v>150000</v>
      </c>
      <c r="AN90" s="1" t="s">
        <v>662</v>
      </c>
      <c r="AO90" s="5" t="s">
        <v>335</v>
      </c>
      <c r="AP90" s="1">
        <v>16</v>
      </c>
      <c r="AQ90" s="2">
        <v>60000</v>
      </c>
      <c r="AR90" s="1">
        <v>6</v>
      </c>
      <c r="AS90" s="1">
        <v>3</v>
      </c>
      <c r="AT90" s="1">
        <v>3</v>
      </c>
      <c r="AU90" s="1">
        <v>8</v>
      </c>
      <c r="AV90" t="s">
        <v>238</v>
      </c>
      <c r="AW90" s="1" t="s">
        <v>23</v>
      </c>
      <c r="AX90" s="1" t="s">
        <v>26</v>
      </c>
    </row>
    <row r="91" spans="36:50" x14ac:dyDescent="0.25">
      <c r="AK91" s="99" t="s">
        <v>742</v>
      </c>
      <c r="AL91" s="93">
        <v>150000</v>
      </c>
      <c r="AN91" s="1" t="s">
        <v>662</v>
      </c>
      <c r="AO91" s="5" t="s">
        <v>337</v>
      </c>
      <c r="AP91" s="1">
        <v>4</v>
      </c>
      <c r="AQ91" s="2">
        <v>80000</v>
      </c>
      <c r="AR91" s="1">
        <v>6</v>
      </c>
      <c r="AS91" s="1">
        <v>3</v>
      </c>
      <c r="AT91" s="1">
        <v>3</v>
      </c>
      <c r="AU91" s="1">
        <v>7</v>
      </c>
      <c r="AV91" t="s">
        <v>340</v>
      </c>
      <c r="AW91" s="1" t="s">
        <v>323</v>
      </c>
      <c r="AX91" s="1" t="s">
        <v>324</v>
      </c>
    </row>
    <row r="92" spans="36:50" x14ac:dyDescent="0.25">
      <c r="AK92" s="99" t="s">
        <v>776</v>
      </c>
      <c r="AL92" s="93">
        <v>150000</v>
      </c>
      <c r="AN92" s="1" t="s">
        <v>662</v>
      </c>
      <c r="AO92" s="5" t="s">
        <v>336</v>
      </c>
      <c r="AP92" s="1">
        <v>2</v>
      </c>
      <c r="AQ92" s="2">
        <v>90000</v>
      </c>
      <c r="AR92" s="1">
        <v>6</v>
      </c>
      <c r="AS92" s="1">
        <v>3</v>
      </c>
      <c r="AT92" s="1">
        <v>3</v>
      </c>
      <c r="AU92" s="1">
        <v>8</v>
      </c>
      <c r="AV92" t="s">
        <v>341</v>
      </c>
      <c r="AW92" s="1" t="s">
        <v>25</v>
      </c>
      <c r="AX92" s="1" t="s">
        <v>29</v>
      </c>
    </row>
    <row r="93" spans="36:50" x14ac:dyDescent="0.25">
      <c r="AN93" s="1" t="s">
        <v>662</v>
      </c>
      <c r="AO93" s="5" t="s">
        <v>338</v>
      </c>
      <c r="AP93" s="1">
        <v>1</v>
      </c>
      <c r="AQ93" s="2">
        <v>180000</v>
      </c>
      <c r="AR93" s="1">
        <v>6</v>
      </c>
      <c r="AS93" s="1">
        <v>5</v>
      </c>
      <c r="AT93" s="1">
        <v>1</v>
      </c>
      <c r="AU93" s="1">
        <v>9</v>
      </c>
      <c r="AV93" t="s">
        <v>342</v>
      </c>
      <c r="AW93" s="1" t="s">
        <v>61</v>
      </c>
      <c r="AX93" s="1" t="s">
        <v>45</v>
      </c>
    </row>
    <row r="94" spans="36:50" x14ac:dyDescent="0.25">
      <c r="AJ94" s="106" t="s">
        <v>7</v>
      </c>
      <c r="AK94" s="106" t="s">
        <v>811</v>
      </c>
      <c r="AL94" s="106" t="s">
        <v>10</v>
      </c>
      <c r="AM94" s="108" t="s">
        <v>876</v>
      </c>
      <c r="AN94" s="1" t="s">
        <v>662</v>
      </c>
      <c r="AO94" s="5" t="s">
        <v>46</v>
      </c>
      <c r="AP94" s="1">
        <v>11</v>
      </c>
      <c r="AQ94" s="2">
        <v>60000</v>
      </c>
      <c r="AR94" s="1">
        <v>6</v>
      </c>
      <c r="AS94" s="1">
        <v>3</v>
      </c>
      <c r="AT94" s="1">
        <v>3</v>
      </c>
      <c r="AU94" s="1">
        <v>8</v>
      </c>
      <c r="AV94" t="s">
        <v>339</v>
      </c>
      <c r="AW94" s="1" t="s">
        <v>23</v>
      </c>
      <c r="AX94" s="1" t="s">
        <v>26</v>
      </c>
    </row>
    <row r="95" spans="36:50" x14ac:dyDescent="0.25">
      <c r="AJ95"/>
      <c r="AK95" s="1"/>
      <c r="AN95" s="1" t="s">
        <v>662</v>
      </c>
      <c r="AO95" s="5" t="s">
        <v>47</v>
      </c>
      <c r="AP95" s="1">
        <v>1</v>
      </c>
      <c r="AQ95" s="2">
        <v>130000</v>
      </c>
      <c r="AR95" s="1">
        <v>5</v>
      </c>
      <c r="AS95" s="1">
        <v>4</v>
      </c>
      <c r="AT95" s="1">
        <v>3</v>
      </c>
      <c r="AU95" s="1">
        <v>8</v>
      </c>
      <c r="AV95" s="5" t="s">
        <v>149</v>
      </c>
      <c r="AW95" s="1" t="s">
        <v>37</v>
      </c>
      <c r="AX95" s="1" t="s">
        <v>37</v>
      </c>
    </row>
    <row r="96" spans="36:50" x14ac:dyDescent="0.25">
      <c r="AJ96" t="s">
        <v>6</v>
      </c>
      <c r="AK96" s="5" t="s">
        <v>647</v>
      </c>
      <c r="AL96" s="107"/>
      <c r="AN96" s="1" t="s">
        <v>662</v>
      </c>
      <c r="AO96" s="99" t="s">
        <v>703</v>
      </c>
      <c r="AP96" s="1">
        <v>1</v>
      </c>
      <c r="AQ96" s="100">
        <v>170000</v>
      </c>
      <c r="AR96" s="1">
        <v>6</v>
      </c>
      <c r="AS96" s="1">
        <v>3</v>
      </c>
      <c r="AT96" s="1">
        <v>3</v>
      </c>
      <c r="AU96" s="1">
        <v>8</v>
      </c>
      <c r="AV96" s="99" t="s">
        <v>704</v>
      </c>
      <c r="AW96" s="1" t="s">
        <v>37</v>
      </c>
      <c r="AX96" s="1" t="s">
        <v>37</v>
      </c>
    </row>
    <row r="97" spans="36:50" x14ac:dyDescent="0.25">
      <c r="AJ97" t="s">
        <v>274</v>
      </c>
      <c r="AK97" s="5" t="s">
        <v>647</v>
      </c>
      <c r="AL97" s="107"/>
      <c r="AN97" s="1" t="s">
        <v>662</v>
      </c>
      <c r="AO97" s="99" t="s">
        <v>705</v>
      </c>
      <c r="AP97" s="1">
        <v>1</v>
      </c>
      <c r="AQ97" s="100">
        <v>250000</v>
      </c>
      <c r="AR97" s="1">
        <v>5</v>
      </c>
      <c r="AS97" s="1">
        <v>5</v>
      </c>
      <c r="AT97" s="1">
        <v>1</v>
      </c>
      <c r="AU97" s="1">
        <v>9</v>
      </c>
      <c r="AV97" s="99" t="s">
        <v>706</v>
      </c>
      <c r="AW97" s="1" t="s">
        <v>37</v>
      </c>
      <c r="AX97" s="1" t="s">
        <v>37</v>
      </c>
    </row>
    <row r="98" spans="36:50" x14ac:dyDescent="0.25">
      <c r="AJ98" s="5" t="s">
        <v>884</v>
      </c>
      <c r="AK98" s="5" t="s">
        <v>647</v>
      </c>
      <c r="AL98" s="107"/>
      <c r="AN98" s="1" t="s">
        <v>662</v>
      </c>
      <c r="AO98" s="5" t="s">
        <v>51</v>
      </c>
      <c r="AP98" s="1">
        <v>1</v>
      </c>
      <c r="AQ98" s="2">
        <v>300000</v>
      </c>
      <c r="AR98" s="1">
        <v>5</v>
      </c>
      <c r="AS98" s="1">
        <v>5</v>
      </c>
      <c r="AT98" s="1">
        <v>3</v>
      </c>
      <c r="AU98" s="1">
        <v>9</v>
      </c>
      <c r="AV98" s="5" t="s">
        <v>546</v>
      </c>
      <c r="AW98" s="1" t="s">
        <v>37</v>
      </c>
      <c r="AX98" s="1" t="s">
        <v>37</v>
      </c>
    </row>
    <row r="99" spans="36:50" x14ac:dyDescent="0.25">
      <c r="AJ99" t="s">
        <v>661</v>
      </c>
      <c r="AK99" s="5" t="s">
        <v>647</v>
      </c>
      <c r="AL99" s="107"/>
      <c r="AN99" s="1" t="s">
        <v>662</v>
      </c>
      <c r="AO99" s="5" t="s">
        <v>52</v>
      </c>
      <c r="AP99" s="1">
        <v>1</v>
      </c>
      <c r="AQ99" s="2">
        <v>310000</v>
      </c>
      <c r="AR99" s="1">
        <v>6</v>
      </c>
      <c r="AS99" s="1">
        <v>6</v>
      </c>
      <c r="AT99" s="1">
        <v>2</v>
      </c>
      <c r="AU99" s="1">
        <v>8</v>
      </c>
      <c r="AV99" s="5" t="s">
        <v>133</v>
      </c>
      <c r="AW99" s="1" t="s">
        <v>37</v>
      </c>
      <c r="AX99" s="1" t="s">
        <v>37</v>
      </c>
    </row>
    <row r="100" spans="36:50" x14ac:dyDescent="0.25">
      <c r="AJ100" t="s">
        <v>885</v>
      </c>
      <c r="AK100" s="5" t="s">
        <v>647</v>
      </c>
      <c r="AL100" s="107"/>
      <c r="AN100" s="1" t="s">
        <v>662</v>
      </c>
      <c r="AO100" s="99" t="s">
        <v>867</v>
      </c>
      <c r="AP100" s="92">
        <v>1</v>
      </c>
      <c r="AQ100" s="100">
        <v>380000</v>
      </c>
      <c r="AR100" s="92">
        <v>5</v>
      </c>
      <c r="AS100" s="92">
        <v>6</v>
      </c>
      <c r="AT100" s="92">
        <v>2</v>
      </c>
      <c r="AU100" s="92">
        <v>10</v>
      </c>
      <c r="AV100" s="99" t="s">
        <v>864</v>
      </c>
      <c r="AW100" s="1" t="s">
        <v>37</v>
      </c>
      <c r="AX100" s="1" t="s">
        <v>37</v>
      </c>
    </row>
    <row r="101" spans="36:50" x14ac:dyDescent="0.25">
      <c r="AJ101" t="s">
        <v>662</v>
      </c>
      <c r="AK101" s="5" t="s">
        <v>647</v>
      </c>
      <c r="AL101" s="107"/>
      <c r="AN101" s="1" t="s">
        <v>662</v>
      </c>
      <c r="AO101" s="99" t="s">
        <v>877</v>
      </c>
      <c r="AP101" s="92">
        <v>16</v>
      </c>
      <c r="AQ101" s="100">
        <v>400000</v>
      </c>
      <c r="AR101" s="92">
        <v>6</v>
      </c>
      <c r="AS101" s="92">
        <v>7</v>
      </c>
      <c r="AT101" s="92">
        <v>2</v>
      </c>
      <c r="AU101" s="92">
        <v>10</v>
      </c>
      <c r="AV101" s="99" t="s">
        <v>878</v>
      </c>
      <c r="AW101" s="1" t="s">
        <v>37</v>
      </c>
      <c r="AX101" s="1" t="s">
        <v>37</v>
      </c>
    </row>
    <row r="102" spans="36:50" x14ac:dyDescent="0.25">
      <c r="AJ102" t="s">
        <v>663</v>
      </c>
      <c r="AK102" s="5" t="s">
        <v>647</v>
      </c>
      <c r="AL102" s="107"/>
      <c r="AN102" s="1" t="s">
        <v>662</v>
      </c>
      <c r="AO102" s="5" t="s">
        <v>35</v>
      </c>
      <c r="AP102" s="1">
        <v>1</v>
      </c>
      <c r="AQ102" s="2">
        <v>430000</v>
      </c>
      <c r="AR102" s="1">
        <v>6</v>
      </c>
      <c r="AS102" s="1">
        <v>6</v>
      </c>
      <c r="AT102" s="1">
        <v>3</v>
      </c>
      <c r="AU102" s="1">
        <v>10</v>
      </c>
      <c r="AV102" s="5" t="s">
        <v>151</v>
      </c>
      <c r="AW102" s="1" t="s">
        <v>37</v>
      </c>
      <c r="AX102" s="1" t="s">
        <v>37</v>
      </c>
    </row>
    <row r="103" spans="36:50" x14ac:dyDescent="0.25">
      <c r="AJ103" t="s">
        <v>254</v>
      </c>
      <c r="AK103" s="5" t="s">
        <v>647</v>
      </c>
      <c r="AL103" s="107"/>
      <c r="AN103" s="1" t="s">
        <v>663</v>
      </c>
      <c r="AO103" s="5"/>
      <c r="AP103" s="1"/>
      <c r="AQ103" s="2"/>
      <c r="AR103" s="1"/>
      <c r="AS103" s="1"/>
      <c r="AT103" s="1"/>
      <c r="AU103" s="1"/>
      <c r="AV103"/>
      <c r="AW103" s="1"/>
      <c r="AX103" s="1"/>
    </row>
    <row r="104" spans="36:50" x14ac:dyDescent="0.25">
      <c r="AJ104" t="s">
        <v>886</v>
      </c>
      <c r="AK104" s="5" t="s">
        <v>647</v>
      </c>
      <c r="AL104" s="107"/>
      <c r="AN104" s="1" t="s">
        <v>663</v>
      </c>
      <c r="AO104" s="5" t="s">
        <v>70</v>
      </c>
      <c r="AP104" s="1">
        <v>16</v>
      </c>
      <c r="AQ104" s="2">
        <v>70000</v>
      </c>
      <c r="AR104" s="1">
        <v>6</v>
      </c>
      <c r="AS104" s="1">
        <v>3</v>
      </c>
      <c r="AT104" s="1">
        <v>4</v>
      </c>
      <c r="AU104" s="1">
        <v>8</v>
      </c>
      <c r="AV104" t="s">
        <v>647</v>
      </c>
      <c r="AW104" s="1" t="s">
        <v>24</v>
      </c>
      <c r="AX104" s="1" t="s">
        <v>28</v>
      </c>
    </row>
    <row r="105" spans="36:50" x14ac:dyDescent="0.25">
      <c r="AJ105" t="s">
        <v>178</v>
      </c>
      <c r="AK105" s="5" t="s">
        <v>647</v>
      </c>
      <c r="AL105" s="107"/>
      <c r="AN105" s="1" t="s">
        <v>663</v>
      </c>
      <c r="AO105" s="5" t="s">
        <v>71</v>
      </c>
      <c r="AP105" s="1">
        <v>2</v>
      </c>
      <c r="AQ105" s="2">
        <v>80000</v>
      </c>
      <c r="AR105" s="1">
        <v>7</v>
      </c>
      <c r="AS105" s="1">
        <v>3</v>
      </c>
      <c r="AT105" s="1">
        <v>4</v>
      </c>
      <c r="AU105" s="1">
        <v>7</v>
      </c>
      <c r="AV105" t="s">
        <v>570</v>
      </c>
      <c r="AW105" s="1" t="s">
        <v>45</v>
      </c>
      <c r="AX105" s="1" t="s">
        <v>61</v>
      </c>
    </row>
    <row r="106" spans="36:50" x14ac:dyDescent="0.25">
      <c r="AJ106" t="s">
        <v>184</v>
      </c>
      <c r="AK106" s="5" t="s">
        <v>814</v>
      </c>
      <c r="AL106" s="107">
        <v>60000</v>
      </c>
      <c r="AM106" s="65">
        <v>1</v>
      </c>
      <c r="AN106" s="1" t="s">
        <v>663</v>
      </c>
      <c r="AO106" s="5" t="s">
        <v>72</v>
      </c>
      <c r="AP106" s="1">
        <v>2</v>
      </c>
      <c r="AQ106" s="2">
        <v>90000</v>
      </c>
      <c r="AR106" s="1">
        <v>6</v>
      </c>
      <c r="AS106" s="1">
        <v>3</v>
      </c>
      <c r="AT106" s="1">
        <v>4</v>
      </c>
      <c r="AU106" s="1">
        <v>7</v>
      </c>
      <c r="AV106" t="s">
        <v>73</v>
      </c>
      <c r="AW106" s="1" t="s">
        <v>24</v>
      </c>
      <c r="AX106" s="1" t="s">
        <v>28</v>
      </c>
    </row>
    <row r="107" spans="36:50" x14ac:dyDescent="0.25">
      <c r="AJ107" t="s">
        <v>664</v>
      </c>
      <c r="AK107" s="5" t="s">
        <v>647</v>
      </c>
      <c r="AL107" s="107"/>
      <c r="AN107" s="1" t="s">
        <v>663</v>
      </c>
      <c r="AO107" s="5" t="s">
        <v>5</v>
      </c>
      <c r="AP107" s="1">
        <v>4</v>
      </c>
      <c r="AQ107" s="2">
        <v>100000</v>
      </c>
      <c r="AR107" s="1">
        <v>7</v>
      </c>
      <c r="AS107" s="1">
        <v>3</v>
      </c>
      <c r="AT107" s="1">
        <v>4</v>
      </c>
      <c r="AU107" s="1">
        <v>8</v>
      </c>
      <c r="AV107" t="s">
        <v>222</v>
      </c>
      <c r="AW107" s="1" t="s">
        <v>24</v>
      </c>
      <c r="AX107" s="1" t="s">
        <v>28</v>
      </c>
    </row>
    <row r="108" spans="36:50" x14ac:dyDescent="0.25">
      <c r="AJ108" t="s">
        <v>256</v>
      </c>
      <c r="AK108" s="5" t="s">
        <v>647</v>
      </c>
      <c r="AL108" s="107"/>
      <c r="AN108" s="1" t="s">
        <v>663</v>
      </c>
      <c r="AO108" s="5" t="s">
        <v>175</v>
      </c>
      <c r="AP108" s="1">
        <v>2</v>
      </c>
      <c r="AQ108" s="2">
        <v>110000</v>
      </c>
      <c r="AR108" s="1">
        <v>7</v>
      </c>
      <c r="AS108" s="1">
        <v>3</v>
      </c>
      <c r="AT108" s="1">
        <v>4</v>
      </c>
      <c r="AU108" s="1">
        <v>7</v>
      </c>
      <c r="AV108" t="s">
        <v>299</v>
      </c>
      <c r="AW108" s="1" t="s">
        <v>24</v>
      </c>
      <c r="AX108" s="1" t="s">
        <v>28</v>
      </c>
    </row>
    <row r="109" spans="36:50" x14ac:dyDescent="0.25">
      <c r="AJ109" s="5" t="s">
        <v>887</v>
      </c>
      <c r="AK109" s="5" t="s">
        <v>647</v>
      </c>
      <c r="AL109" s="107"/>
      <c r="AN109" s="1" t="s">
        <v>663</v>
      </c>
      <c r="AO109" s="5" t="s">
        <v>46</v>
      </c>
      <c r="AP109" s="1">
        <v>11</v>
      </c>
      <c r="AQ109" s="2">
        <v>70000</v>
      </c>
      <c r="AR109" s="1">
        <v>6</v>
      </c>
      <c r="AS109" s="1">
        <v>3</v>
      </c>
      <c r="AT109" s="1">
        <v>4</v>
      </c>
      <c r="AU109" s="1">
        <v>8</v>
      </c>
      <c r="AV109" t="s">
        <v>65</v>
      </c>
      <c r="AW109" s="1" t="s">
        <v>24</v>
      </c>
      <c r="AX109" s="1" t="s">
        <v>28</v>
      </c>
    </row>
    <row r="110" spans="36:50" x14ac:dyDescent="0.25">
      <c r="AJ110" t="s">
        <v>258</v>
      </c>
      <c r="AK110" s="5" t="s">
        <v>647</v>
      </c>
      <c r="AL110" s="107"/>
      <c r="AN110" s="1" t="s">
        <v>663</v>
      </c>
      <c r="AO110" s="99" t="s">
        <v>721</v>
      </c>
      <c r="AP110" s="92">
        <v>1</v>
      </c>
      <c r="AQ110" s="100">
        <v>160000</v>
      </c>
      <c r="AR110" s="92">
        <v>6</v>
      </c>
      <c r="AS110" s="92">
        <v>3</v>
      </c>
      <c r="AT110" s="92">
        <v>4</v>
      </c>
      <c r="AU110" s="92">
        <v>8</v>
      </c>
      <c r="AV110" s="65" t="s">
        <v>722</v>
      </c>
      <c r="AW110" s="1" t="s">
        <v>37</v>
      </c>
      <c r="AX110" s="1" t="s">
        <v>37</v>
      </c>
    </row>
    <row r="111" spans="36:50" x14ac:dyDescent="0.25">
      <c r="AJ111" t="s">
        <v>260</v>
      </c>
      <c r="AK111" s="5" t="s">
        <v>816</v>
      </c>
      <c r="AL111" s="107">
        <v>100000</v>
      </c>
      <c r="AM111" s="65">
        <v>1</v>
      </c>
      <c r="AN111" s="1" t="s">
        <v>663</v>
      </c>
      <c r="AO111" s="99" t="s">
        <v>725</v>
      </c>
      <c r="AP111" s="92">
        <v>1</v>
      </c>
      <c r="AQ111" s="100">
        <v>170000</v>
      </c>
      <c r="AR111" s="92">
        <v>7</v>
      </c>
      <c r="AS111" s="92">
        <v>3</v>
      </c>
      <c r="AT111" s="92">
        <v>4</v>
      </c>
      <c r="AU111" s="92">
        <v>8</v>
      </c>
      <c r="AV111" s="65" t="s">
        <v>726</v>
      </c>
      <c r="AW111" s="1" t="s">
        <v>37</v>
      </c>
      <c r="AX111" s="1" t="s">
        <v>37</v>
      </c>
    </row>
    <row r="112" spans="36:50" x14ac:dyDescent="0.25">
      <c r="AJ112" t="s">
        <v>263</v>
      </c>
      <c r="AK112" s="5" t="s">
        <v>647</v>
      </c>
      <c r="AL112" s="107"/>
      <c r="AN112" s="1" t="s">
        <v>663</v>
      </c>
      <c r="AO112" s="99" t="s">
        <v>723</v>
      </c>
      <c r="AP112" s="92">
        <v>1</v>
      </c>
      <c r="AQ112" s="100">
        <v>190000</v>
      </c>
      <c r="AR112" s="92">
        <v>6</v>
      </c>
      <c r="AS112" s="92">
        <v>3</v>
      </c>
      <c r="AT112" s="92">
        <v>4</v>
      </c>
      <c r="AU112" s="92">
        <v>9</v>
      </c>
      <c r="AV112" s="65" t="s">
        <v>724</v>
      </c>
      <c r="AW112" s="1" t="s">
        <v>37</v>
      </c>
      <c r="AX112" s="1" t="s">
        <v>37</v>
      </c>
    </row>
    <row r="113" spans="36:50" x14ac:dyDescent="0.25">
      <c r="AJ113" t="s">
        <v>265</v>
      </c>
      <c r="AK113" s="5" t="s">
        <v>815</v>
      </c>
      <c r="AL113" s="107">
        <v>100000</v>
      </c>
      <c r="AM113" s="65">
        <v>1</v>
      </c>
      <c r="AN113" s="1" t="s">
        <v>663</v>
      </c>
      <c r="AO113" s="5" t="s">
        <v>102</v>
      </c>
      <c r="AP113" s="1">
        <v>1</v>
      </c>
      <c r="AQ113" s="2">
        <v>200000</v>
      </c>
      <c r="AR113" s="1">
        <v>8</v>
      </c>
      <c r="AS113" s="1">
        <v>3</v>
      </c>
      <c r="AT113" s="1">
        <v>4</v>
      </c>
      <c r="AU113" s="1">
        <v>7</v>
      </c>
      <c r="AV113" s="5" t="s">
        <v>103</v>
      </c>
      <c r="AW113" s="1" t="s">
        <v>37</v>
      </c>
      <c r="AX113" s="1" t="s">
        <v>37</v>
      </c>
    </row>
    <row r="114" spans="36:50" x14ac:dyDescent="0.25">
      <c r="AJ114" t="s">
        <v>185</v>
      </c>
      <c r="AK114" s="5" t="s">
        <v>814</v>
      </c>
      <c r="AL114" s="107">
        <v>60000</v>
      </c>
      <c r="AM114" s="65">
        <v>1</v>
      </c>
      <c r="AN114" s="1" t="s">
        <v>663</v>
      </c>
      <c r="AO114" s="5" t="s">
        <v>111</v>
      </c>
      <c r="AP114" s="1">
        <v>1</v>
      </c>
      <c r="AQ114" s="2">
        <v>210000</v>
      </c>
      <c r="AR114" s="1">
        <v>7</v>
      </c>
      <c r="AS114" s="1">
        <v>3</v>
      </c>
      <c r="AT114" s="1">
        <v>4</v>
      </c>
      <c r="AU114" s="1">
        <v>7</v>
      </c>
      <c r="AV114" s="5" t="s">
        <v>140</v>
      </c>
      <c r="AW114" s="1" t="s">
        <v>37</v>
      </c>
      <c r="AX114" s="1" t="s">
        <v>37</v>
      </c>
    </row>
    <row r="115" spans="36:50" x14ac:dyDescent="0.25">
      <c r="AJ115" t="s">
        <v>266</v>
      </c>
      <c r="AK115" s="5" t="s">
        <v>647</v>
      </c>
      <c r="AL115" s="107"/>
      <c r="AN115" s="1" t="s">
        <v>663</v>
      </c>
      <c r="AO115" s="5" t="s">
        <v>113</v>
      </c>
      <c r="AP115" s="1">
        <v>1</v>
      </c>
      <c r="AQ115" s="2">
        <v>220000</v>
      </c>
      <c r="AR115" s="1">
        <v>7</v>
      </c>
      <c r="AS115" s="1">
        <v>3</v>
      </c>
      <c r="AT115" s="1">
        <v>3</v>
      </c>
      <c r="AU115" s="1">
        <v>7</v>
      </c>
      <c r="AV115" s="5" t="s">
        <v>145</v>
      </c>
      <c r="AW115" s="1" t="s">
        <v>37</v>
      </c>
      <c r="AX115" s="1" t="s">
        <v>37</v>
      </c>
    </row>
    <row r="116" spans="36:50" x14ac:dyDescent="0.25">
      <c r="AJ116" t="s">
        <v>343</v>
      </c>
      <c r="AK116" s="5" t="s">
        <v>647</v>
      </c>
      <c r="AL116" s="107"/>
      <c r="AN116" s="1" t="s">
        <v>663</v>
      </c>
      <c r="AO116" s="5" t="s">
        <v>727</v>
      </c>
      <c r="AP116" s="1">
        <v>1</v>
      </c>
      <c r="AQ116" s="2">
        <v>230000</v>
      </c>
      <c r="AR116" s="1">
        <v>7</v>
      </c>
      <c r="AS116" s="1">
        <v>3</v>
      </c>
      <c r="AT116" s="1">
        <v>4</v>
      </c>
      <c r="AU116" s="1">
        <v>7</v>
      </c>
      <c r="AV116" s="5" t="s">
        <v>728</v>
      </c>
      <c r="AW116" s="1" t="s">
        <v>37</v>
      </c>
      <c r="AX116" s="1" t="s">
        <v>37</v>
      </c>
    </row>
    <row r="117" spans="36:50" x14ac:dyDescent="0.25">
      <c r="AJ117" t="s">
        <v>272</v>
      </c>
      <c r="AK117" s="5" t="s">
        <v>647</v>
      </c>
      <c r="AL117" s="107"/>
      <c r="AN117" s="1" t="s">
        <v>663</v>
      </c>
      <c r="AO117" s="5" t="s">
        <v>32</v>
      </c>
      <c r="AP117" s="1">
        <v>1</v>
      </c>
      <c r="AQ117" s="2">
        <v>250000</v>
      </c>
      <c r="AR117" s="1">
        <v>8</v>
      </c>
      <c r="AS117" s="1">
        <v>3</v>
      </c>
      <c r="AT117" s="1">
        <v>5</v>
      </c>
      <c r="AU117" s="1">
        <v>7</v>
      </c>
      <c r="AV117" s="5" t="s">
        <v>159</v>
      </c>
      <c r="AW117" s="1" t="s">
        <v>37</v>
      </c>
      <c r="AX117" s="1" t="s">
        <v>37</v>
      </c>
    </row>
    <row r="118" spans="36:50" x14ac:dyDescent="0.25">
      <c r="AJ118" t="s">
        <v>267</v>
      </c>
      <c r="AK118" s="5" t="s">
        <v>647</v>
      </c>
      <c r="AL118" s="107"/>
      <c r="AN118" s="1" t="s">
        <v>663</v>
      </c>
      <c r="AO118" s="5" t="s">
        <v>287</v>
      </c>
      <c r="AP118" s="1">
        <v>1</v>
      </c>
      <c r="AQ118" s="2">
        <v>260000</v>
      </c>
      <c r="AR118" s="1">
        <v>7</v>
      </c>
      <c r="AS118" s="1">
        <v>4</v>
      </c>
      <c r="AT118" s="1">
        <v>4</v>
      </c>
      <c r="AU118" s="1">
        <v>8</v>
      </c>
      <c r="AV118" s="5" t="s">
        <v>142</v>
      </c>
      <c r="AW118" s="1" t="s">
        <v>37</v>
      </c>
      <c r="AX118" s="1" t="s">
        <v>37</v>
      </c>
    </row>
    <row r="119" spans="36:50" x14ac:dyDescent="0.25">
      <c r="AJ119" t="s">
        <v>268</v>
      </c>
      <c r="AK119" s="5" t="s">
        <v>816</v>
      </c>
      <c r="AL119" s="107">
        <v>100000</v>
      </c>
      <c r="AM119" s="65">
        <v>1</v>
      </c>
      <c r="AN119" s="1" t="s">
        <v>663</v>
      </c>
      <c r="AO119" s="99" t="s">
        <v>867</v>
      </c>
      <c r="AP119" s="92">
        <v>1</v>
      </c>
      <c r="AQ119" s="100">
        <v>380000</v>
      </c>
      <c r="AR119" s="92">
        <v>5</v>
      </c>
      <c r="AS119" s="92">
        <v>6</v>
      </c>
      <c r="AT119" s="92">
        <v>2</v>
      </c>
      <c r="AU119" s="92">
        <v>10</v>
      </c>
      <c r="AV119" s="99" t="s">
        <v>864</v>
      </c>
      <c r="AW119" s="1" t="s">
        <v>37</v>
      </c>
      <c r="AX119" s="1" t="s">
        <v>37</v>
      </c>
    </row>
    <row r="120" spans="36:50" x14ac:dyDescent="0.25">
      <c r="AJ120" t="s">
        <v>273</v>
      </c>
      <c r="AK120" s="5" t="s">
        <v>647</v>
      </c>
      <c r="AL120" s="107"/>
      <c r="AN120" s="1" t="s">
        <v>663</v>
      </c>
      <c r="AO120" s="5" t="s">
        <v>868</v>
      </c>
      <c r="AP120" s="1">
        <v>1</v>
      </c>
      <c r="AQ120" s="2">
        <v>390000</v>
      </c>
      <c r="AR120" s="1">
        <v>8</v>
      </c>
      <c r="AS120" s="1">
        <v>3</v>
      </c>
      <c r="AT120" s="1">
        <v>5</v>
      </c>
      <c r="AU120" s="1">
        <v>7</v>
      </c>
      <c r="AV120" s="5" t="s">
        <v>729</v>
      </c>
      <c r="AW120" s="1" t="s">
        <v>37</v>
      </c>
      <c r="AX120" s="1" t="s">
        <v>37</v>
      </c>
    </row>
    <row r="121" spans="36:50" x14ac:dyDescent="0.25">
      <c r="AJ121" t="s">
        <v>210</v>
      </c>
      <c r="AK121" s="5" t="s">
        <v>647</v>
      </c>
      <c r="AL121" s="107"/>
      <c r="AN121" s="1" t="s">
        <v>663</v>
      </c>
      <c r="AO121" s="99" t="s">
        <v>877</v>
      </c>
      <c r="AP121" s="92">
        <v>16</v>
      </c>
      <c r="AQ121" s="100">
        <v>400000</v>
      </c>
      <c r="AR121" s="92">
        <v>6</v>
      </c>
      <c r="AS121" s="92">
        <v>7</v>
      </c>
      <c r="AT121" s="92">
        <v>2</v>
      </c>
      <c r="AU121" s="92">
        <v>10</v>
      </c>
      <c r="AV121" s="99" t="s">
        <v>878</v>
      </c>
      <c r="AW121" s="1" t="s">
        <v>37</v>
      </c>
      <c r="AX121" s="1" t="s">
        <v>37</v>
      </c>
    </row>
    <row r="122" spans="36:50" x14ac:dyDescent="0.25">
      <c r="AJ122" t="s">
        <v>665</v>
      </c>
      <c r="AK122" s="5" t="s">
        <v>647</v>
      </c>
      <c r="AL122" s="107"/>
      <c r="AN122" s="1" t="s">
        <v>663</v>
      </c>
      <c r="AO122" s="5" t="s">
        <v>35</v>
      </c>
      <c r="AP122" s="1">
        <v>1</v>
      </c>
      <c r="AQ122" s="2">
        <v>430000</v>
      </c>
      <c r="AR122" s="1">
        <v>6</v>
      </c>
      <c r="AS122" s="1">
        <v>6</v>
      </c>
      <c r="AT122" s="1">
        <v>3</v>
      </c>
      <c r="AU122" s="1">
        <v>10</v>
      </c>
      <c r="AV122" s="5" t="s">
        <v>151</v>
      </c>
      <c r="AW122" s="1" t="s">
        <v>37</v>
      </c>
      <c r="AX122" s="1" t="s">
        <v>37</v>
      </c>
    </row>
    <row r="123" spans="36:50" x14ac:dyDescent="0.25">
      <c r="AJ123"/>
      <c r="AK123" s="5" t="s">
        <v>647</v>
      </c>
      <c r="AL123" s="107"/>
      <c r="AN123" s="1" t="s">
        <v>254</v>
      </c>
      <c r="AO123" s="5"/>
      <c r="AP123" s="1"/>
      <c r="AQ123" s="2"/>
      <c r="AR123" s="1"/>
      <c r="AS123" s="1"/>
      <c r="AT123" s="1"/>
      <c r="AU123" s="1"/>
      <c r="AV123"/>
      <c r="AW123" s="1"/>
      <c r="AX123" s="1"/>
    </row>
    <row r="124" spans="36:50" x14ac:dyDescent="0.25">
      <c r="AJ124" t="s">
        <v>666</v>
      </c>
      <c r="AK124" s="5" t="s">
        <v>647</v>
      </c>
      <c r="AL124" s="107"/>
      <c r="AN124" s="1" t="s">
        <v>254</v>
      </c>
      <c r="AO124" s="5" t="s">
        <v>56</v>
      </c>
      <c r="AP124" s="1">
        <v>16</v>
      </c>
      <c r="AQ124" s="2">
        <v>70000</v>
      </c>
      <c r="AR124" s="1">
        <v>4</v>
      </c>
      <c r="AS124" s="1">
        <v>3</v>
      </c>
      <c r="AT124" s="1">
        <v>2</v>
      </c>
      <c r="AU124" s="1">
        <v>9</v>
      </c>
      <c r="AV124" t="s">
        <v>58</v>
      </c>
      <c r="AW124" s="1" t="s">
        <v>25</v>
      </c>
      <c r="AX124" s="1" t="s">
        <v>29</v>
      </c>
    </row>
    <row r="125" spans="36:50" x14ac:dyDescent="0.25">
      <c r="AJ125" s="5" t="s">
        <v>359</v>
      </c>
      <c r="AK125" s="5" t="s">
        <v>647</v>
      </c>
      <c r="AL125" s="107"/>
      <c r="AN125" s="1" t="s">
        <v>254</v>
      </c>
      <c r="AO125" s="5" t="s">
        <v>71</v>
      </c>
      <c r="AP125" s="1">
        <v>2</v>
      </c>
      <c r="AQ125" s="2">
        <v>80000</v>
      </c>
      <c r="AR125" s="1">
        <v>6</v>
      </c>
      <c r="AS125" s="1">
        <v>3</v>
      </c>
      <c r="AT125" s="1">
        <v>3</v>
      </c>
      <c r="AU125" s="1">
        <v>8</v>
      </c>
      <c r="AV125" t="s">
        <v>296</v>
      </c>
      <c r="AW125" s="1" t="s">
        <v>23</v>
      </c>
      <c r="AX125" s="1" t="s">
        <v>26</v>
      </c>
    </row>
    <row r="126" spans="36:50" x14ac:dyDescent="0.25">
      <c r="AJ126" s="5" t="s">
        <v>360</v>
      </c>
      <c r="AK126" s="5" t="s">
        <v>647</v>
      </c>
      <c r="AL126" s="107"/>
      <c r="AN126" s="1" t="s">
        <v>254</v>
      </c>
      <c r="AO126" s="5" t="s">
        <v>5</v>
      </c>
      <c r="AP126" s="1">
        <v>2</v>
      </c>
      <c r="AQ126" s="2">
        <v>80000</v>
      </c>
      <c r="AR126" s="1">
        <v>5</v>
      </c>
      <c r="AS126" s="1">
        <v>3</v>
      </c>
      <c r="AT126" s="1">
        <v>3</v>
      </c>
      <c r="AU126" s="1">
        <v>9</v>
      </c>
      <c r="AV126" t="s">
        <v>297</v>
      </c>
      <c r="AW126" s="1" t="s">
        <v>25</v>
      </c>
      <c r="AX126" s="1" t="s">
        <v>29</v>
      </c>
    </row>
    <row r="127" spans="36:50" x14ac:dyDescent="0.25">
      <c r="AJ127" s="5" t="s">
        <v>361</v>
      </c>
      <c r="AK127" s="5" t="s">
        <v>647</v>
      </c>
      <c r="AL127" s="107"/>
      <c r="AN127" s="1" t="s">
        <v>254</v>
      </c>
      <c r="AO127" s="5" t="s">
        <v>176</v>
      </c>
      <c r="AP127" s="1">
        <v>2</v>
      </c>
      <c r="AQ127" s="2">
        <v>90000</v>
      </c>
      <c r="AR127" s="1">
        <v>5</v>
      </c>
      <c r="AS127" s="1">
        <v>3</v>
      </c>
      <c r="AT127" s="1">
        <v>2</v>
      </c>
      <c r="AU127" s="1">
        <v>8</v>
      </c>
      <c r="AV127" t="s">
        <v>298</v>
      </c>
      <c r="AW127" s="1" t="s">
        <v>25</v>
      </c>
      <c r="AX127" s="1" t="s">
        <v>29</v>
      </c>
    </row>
    <row r="128" spans="36:50" x14ac:dyDescent="0.25">
      <c r="AJ128" s="5" t="s">
        <v>667</v>
      </c>
      <c r="AK128" s="5" t="s">
        <v>647</v>
      </c>
      <c r="AL128" s="107"/>
      <c r="AN128" s="1" t="s">
        <v>254</v>
      </c>
      <c r="AO128" s="5" t="s">
        <v>177</v>
      </c>
      <c r="AP128" s="1">
        <v>1</v>
      </c>
      <c r="AQ128" s="2">
        <v>160000</v>
      </c>
      <c r="AR128" s="1">
        <v>4</v>
      </c>
      <c r="AS128" s="1">
        <v>7</v>
      </c>
      <c r="AT128" s="1">
        <v>1</v>
      </c>
      <c r="AU128" s="1">
        <v>10</v>
      </c>
      <c r="AV128" t="s">
        <v>295</v>
      </c>
      <c r="AW128" s="1" t="s">
        <v>61</v>
      </c>
      <c r="AX128" s="1" t="s">
        <v>45</v>
      </c>
    </row>
    <row r="129" spans="36:50" x14ac:dyDescent="0.25">
      <c r="AJ129" s="5" t="s">
        <v>668</v>
      </c>
      <c r="AK129" s="5" t="s">
        <v>647</v>
      </c>
      <c r="AL129" s="107"/>
      <c r="AN129" s="1" t="s">
        <v>254</v>
      </c>
      <c r="AO129" s="5" t="s">
        <v>46</v>
      </c>
      <c r="AP129" s="1">
        <v>11</v>
      </c>
      <c r="AQ129" s="2">
        <v>70000</v>
      </c>
      <c r="AR129" s="1">
        <v>4</v>
      </c>
      <c r="AS129" s="1">
        <v>3</v>
      </c>
      <c r="AT129" s="1">
        <v>2</v>
      </c>
      <c r="AU129" s="1">
        <v>9</v>
      </c>
      <c r="AV129" t="s">
        <v>300</v>
      </c>
      <c r="AW129" s="1" t="s">
        <v>25</v>
      </c>
      <c r="AX129" s="1" t="s">
        <v>29</v>
      </c>
    </row>
    <row r="130" spans="36:50" x14ac:dyDescent="0.25">
      <c r="AJ130" s="5" t="s">
        <v>669</v>
      </c>
      <c r="AK130" s="5" t="s">
        <v>647</v>
      </c>
      <c r="AL130" s="107"/>
      <c r="AN130" s="1" t="s">
        <v>254</v>
      </c>
      <c r="AO130" s="5" t="s">
        <v>86</v>
      </c>
      <c r="AP130" s="1">
        <v>1</v>
      </c>
      <c r="AQ130" s="2">
        <v>60000</v>
      </c>
      <c r="AR130" s="1">
        <v>6</v>
      </c>
      <c r="AS130" s="1">
        <v>3</v>
      </c>
      <c r="AT130" s="1">
        <v>3</v>
      </c>
      <c r="AU130" s="1">
        <v>8</v>
      </c>
      <c r="AV130" s="5" t="s">
        <v>87</v>
      </c>
      <c r="AW130" s="1" t="s">
        <v>37</v>
      </c>
      <c r="AX130" s="1" t="s">
        <v>37</v>
      </c>
    </row>
    <row r="131" spans="36:50" x14ac:dyDescent="0.25">
      <c r="AJ131" s="5" t="s">
        <v>670</v>
      </c>
      <c r="AK131" s="5" t="s">
        <v>647</v>
      </c>
      <c r="AL131" s="107"/>
      <c r="AN131" s="1" t="s">
        <v>254</v>
      </c>
      <c r="AO131" s="5" t="s">
        <v>93</v>
      </c>
      <c r="AP131" s="1">
        <v>1</v>
      </c>
      <c r="AQ131" s="2">
        <v>60000</v>
      </c>
      <c r="AR131" s="1">
        <v>4</v>
      </c>
      <c r="AS131" s="1">
        <v>3</v>
      </c>
      <c r="AT131" s="1">
        <v>2</v>
      </c>
      <c r="AU131" s="1">
        <v>9</v>
      </c>
      <c r="AV131" s="5" t="s">
        <v>94</v>
      </c>
      <c r="AW131" s="1" t="s">
        <v>37</v>
      </c>
      <c r="AX131" s="1" t="s">
        <v>37</v>
      </c>
    </row>
    <row r="132" spans="36:50" x14ac:dyDescent="0.25">
      <c r="AJ132" s="5" t="s">
        <v>362</v>
      </c>
      <c r="AK132" s="5" t="s">
        <v>647</v>
      </c>
      <c r="AL132" s="107"/>
      <c r="AN132" s="1" t="s">
        <v>254</v>
      </c>
      <c r="AO132" s="5" t="s">
        <v>105</v>
      </c>
      <c r="AP132" s="1">
        <v>1</v>
      </c>
      <c r="AQ132" s="2">
        <v>130000</v>
      </c>
      <c r="AR132" s="1">
        <v>5</v>
      </c>
      <c r="AS132" s="1">
        <v>3</v>
      </c>
      <c r="AT132" s="1">
        <v>2</v>
      </c>
      <c r="AU132" s="1">
        <v>8</v>
      </c>
      <c r="AV132" s="5" t="s">
        <v>131</v>
      </c>
      <c r="AW132" s="1" t="s">
        <v>37</v>
      </c>
      <c r="AX132" s="1" t="s">
        <v>37</v>
      </c>
    </row>
    <row r="133" spans="36:50" x14ac:dyDescent="0.25">
      <c r="AJ133" s="5" t="s">
        <v>671</v>
      </c>
      <c r="AK133" s="5" t="s">
        <v>647</v>
      </c>
      <c r="AL133" s="107"/>
      <c r="AN133" s="1" t="s">
        <v>254</v>
      </c>
      <c r="AO133" s="5" t="s">
        <v>108</v>
      </c>
      <c r="AP133" s="1">
        <v>1</v>
      </c>
      <c r="AQ133" s="2">
        <v>220000</v>
      </c>
      <c r="AR133" s="1">
        <v>5</v>
      </c>
      <c r="AS133" s="1">
        <v>4</v>
      </c>
      <c r="AT133" s="1">
        <v>3</v>
      </c>
      <c r="AU133" s="1">
        <v>8</v>
      </c>
      <c r="AV133" s="5" t="s">
        <v>134</v>
      </c>
      <c r="AW133" s="1" t="s">
        <v>37</v>
      </c>
      <c r="AX133" s="1" t="s">
        <v>37</v>
      </c>
    </row>
    <row r="134" spans="36:50" x14ac:dyDescent="0.25">
      <c r="AJ134" s="5" t="s">
        <v>201</v>
      </c>
      <c r="AK134" s="5" t="s">
        <v>647</v>
      </c>
      <c r="AL134" s="107"/>
      <c r="AN134" s="1" t="s">
        <v>254</v>
      </c>
      <c r="AO134" s="5" t="s">
        <v>33</v>
      </c>
      <c r="AP134" s="1">
        <v>1</v>
      </c>
      <c r="AQ134" s="2">
        <v>270000</v>
      </c>
      <c r="AR134" s="1">
        <v>6</v>
      </c>
      <c r="AS134" s="1">
        <v>4</v>
      </c>
      <c r="AT134" s="1">
        <v>3</v>
      </c>
      <c r="AU134" s="1">
        <v>8</v>
      </c>
      <c r="AV134" s="5" t="s">
        <v>168</v>
      </c>
      <c r="AW134" s="1" t="s">
        <v>37</v>
      </c>
      <c r="AX134" s="1" t="s">
        <v>37</v>
      </c>
    </row>
    <row r="135" spans="36:50" x14ac:dyDescent="0.25">
      <c r="AJ135" s="5" t="s">
        <v>672</v>
      </c>
      <c r="AK135" s="5" t="s">
        <v>817</v>
      </c>
      <c r="AL135" s="107">
        <v>60000</v>
      </c>
      <c r="AM135" s="65">
        <v>1</v>
      </c>
      <c r="AN135" s="1" t="s">
        <v>254</v>
      </c>
      <c r="AO135" s="99" t="s">
        <v>867</v>
      </c>
      <c r="AP135" s="92">
        <v>1</v>
      </c>
      <c r="AQ135" s="100">
        <v>380000</v>
      </c>
      <c r="AR135" s="92">
        <v>5</v>
      </c>
      <c r="AS135" s="92">
        <v>6</v>
      </c>
      <c r="AT135" s="92">
        <v>2</v>
      </c>
      <c r="AU135" s="92">
        <v>10</v>
      </c>
      <c r="AV135" s="99" t="s">
        <v>864</v>
      </c>
      <c r="AW135" s="1" t="s">
        <v>37</v>
      </c>
      <c r="AX135" s="1" t="s">
        <v>37</v>
      </c>
    </row>
    <row r="136" spans="36:50" x14ac:dyDescent="0.25">
      <c r="AJ136" s="5" t="s">
        <v>673</v>
      </c>
      <c r="AK136" s="5" t="s">
        <v>647</v>
      </c>
      <c r="AL136" s="107"/>
      <c r="AN136" s="1" t="s">
        <v>254</v>
      </c>
      <c r="AO136" s="99" t="s">
        <v>877</v>
      </c>
      <c r="AP136" s="92">
        <v>16</v>
      </c>
      <c r="AQ136" s="100">
        <v>400000</v>
      </c>
      <c r="AR136" s="92">
        <v>6</v>
      </c>
      <c r="AS136" s="92">
        <v>7</v>
      </c>
      <c r="AT136" s="92">
        <v>2</v>
      </c>
      <c r="AU136" s="92">
        <v>10</v>
      </c>
      <c r="AV136" s="99" t="s">
        <v>878</v>
      </c>
      <c r="AW136" s="1" t="s">
        <v>37</v>
      </c>
      <c r="AX136" s="1" t="s">
        <v>37</v>
      </c>
    </row>
    <row r="137" spans="36:50" x14ac:dyDescent="0.25">
      <c r="AJ137" s="5" t="s">
        <v>363</v>
      </c>
      <c r="AK137" s="5" t="s">
        <v>647</v>
      </c>
      <c r="AL137" s="107"/>
      <c r="AN137" s="1" t="s">
        <v>254</v>
      </c>
      <c r="AO137" s="5" t="s">
        <v>35</v>
      </c>
      <c r="AP137" s="1">
        <v>1</v>
      </c>
      <c r="AQ137" s="2">
        <v>430000</v>
      </c>
      <c r="AR137" s="1">
        <v>6</v>
      </c>
      <c r="AS137" s="1">
        <v>6</v>
      </c>
      <c r="AT137" s="1">
        <v>3</v>
      </c>
      <c r="AU137" s="1">
        <v>10</v>
      </c>
      <c r="AV137" s="5" t="s">
        <v>151</v>
      </c>
      <c r="AW137" s="1" t="s">
        <v>37</v>
      </c>
      <c r="AX137" s="1" t="s">
        <v>37</v>
      </c>
    </row>
    <row r="138" spans="36:50" x14ac:dyDescent="0.25">
      <c r="AJ138" s="5" t="s">
        <v>368</v>
      </c>
      <c r="AK138" s="5" t="s">
        <v>647</v>
      </c>
      <c r="AL138" s="107"/>
      <c r="AN138" s="1" t="s">
        <v>886</v>
      </c>
      <c r="AO138" s="5"/>
      <c r="AP138" s="1"/>
      <c r="AQ138" s="2"/>
      <c r="AR138" s="1"/>
      <c r="AS138" s="1"/>
      <c r="AT138" s="1"/>
      <c r="AU138" s="1"/>
      <c r="AV138"/>
      <c r="AW138" s="1"/>
      <c r="AX138" s="1"/>
    </row>
    <row r="139" spans="36:50" x14ac:dyDescent="0.25">
      <c r="AJ139" s="5" t="s">
        <v>674</v>
      </c>
      <c r="AK139" s="5" t="s">
        <v>647</v>
      </c>
      <c r="AL139" s="107"/>
      <c r="AN139" s="1" t="s">
        <v>886</v>
      </c>
      <c r="AO139" s="5" t="s">
        <v>70</v>
      </c>
      <c r="AP139" s="1">
        <v>16</v>
      </c>
      <c r="AQ139" s="2">
        <v>60000</v>
      </c>
      <c r="AR139" s="1">
        <v>6</v>
      </c>
      <c r="AS139" s="1">
        <v>3</v>
      </c>
      <c r="AT139" s="1">
        <v>4</v>
      </c>
      <c r="AU139" s="1">
        <v>7</v>
      </c>
      <c r="AV139" t="s">
        <v>647</v>
      </c>
      <c r="AW139" s="1" t="s">
        <v>24</v>
      </c>
      <c r="AX139" s="1" t="s">
        <v>28</v>
      </c>
    </row>
    <row r="140" spans="36:50" x14ac:dyDescent="0.25">
      <c r="AJ140" s="5" t="s">
        <v>364</v>
      </c>
      <c r="AK140" s="5" t="s">
        <v>816</v>
      </c>
      <c r="AL140" s="107">
        <v>100000</v>
      </c>
      <c r="AM140" s="65">
        <v>1</v>
      </c>
      <c r="AN140" s="1" t="s">
        <v>886</v>
      </c>
      <c r="AO140" s="5" t="s">
        <v>3</v>
      </c>
      <c r="AP140" s="1">
        <v>2</v>
      </c>
      <c r="AQ140" s="2">
        <v>70000</v>
      </c>
      <c r="AR140" s="1">
        <v>6</v>
      </c>
      <c r="AS140" s="1">
        <v>3</v>
      </c>
      <c r="AT140" s="1">
        <v>4</v>
      </c>
      <c r="AU140" s="1">
        <v>7</v>
      </c>
      <c r="AV140" t="s">
        <v>223</v>
      </c>
      <c r="AW140" s="1" t="s">
        <v>45</v>
      </c>
      <c r="AX140" s="1" t="s">
        <v>61</v>
      </c>
    </row>
    <row r="141" spans="36:50" x14ac:dyDescent="0.25">
      <c r="AJ141" s="5" t="s">
        <v>675</v>
      </c>
      <c r="AK141" s="5" t="s">
        <v>816</v>
      </c>
      <c r="AL141" s="107">
        <v>100000</v>
      </c>
      <c r="AM141" s="65">
        <v>1</v>
      </c>
      <c r="AN141" s="1" t="s">
        <v>886</v>
      </c>
      <c r="AO141" s="5" t="s">
        <v>4</v>
      </c>
      <c r="AP141" s="1">
        <v>4</v>
      </c>
      <c r="AQ141" s="2">
        <v>100000</v>
      </c>
      <c r="AR141" s="1">
        <v>8</v>
      </c>
      <c r="AS141" s="1">
        <v>3</v>
      </c>
      <c r="AT141" s="1">
        <v>4</v>
      </c>
      <c r="AU141" s="1">
        <v>7</v>
      </c>
      <c r="AV141" t="s">
        <v>224</v>
      </c>
      <c r="AW141" s="1" t="s">
        <v>24</v>
      </c>
      <c r="AX141" s="1" t="s">
        <v>28</v>
      </c>
    </row>
    <row r="142" spans="36:50" x14ac:dyDescent="0.25">
      <c r="AJ142" s="5" t="s">
        <v>365</v>
      </c>
      <c r="AK142" s="5" t="s">
        <v>647</v>
      </c>
      <c r="AL142" s="107"/>
      <c r="AN142" s="1" t="s">
        <v>886</v>
      </c>
      <c r="AO142" s="5" t="s">
        <v>5</v>
      </c>
      <c r="AP142" s="1">
        <v>2</v>
      </c>
      <c r="AQ142" s="2">
        <v>110000</v>
      </c>
      <c r="AR142" s="1">
        <v>7</v>
      </c>
      <c r="AS142" s="1">
        <v>3</v>
      </c>
      <c r="AT142" s="1">
        <v>4</v>
      </c>
      <c r="AU142" s="1">
        <v>8</v>
      </c>
      <c r="AV142" t="s">
        <v>225</v>
      </c>
      <c r="AW142" s="1" t="s">
        <v>24</v>
      </c>
      <c r="AX142" s="1" t="s">
        <v>28</v>
      </c>
    </row>
    <row r="143" spans="36:50" x14ac:dyDescent="0.25">
      <c r="AJ143" s="5" t="s">
        <v>676</v>
      </c>
      <c r="AK143" s="5" t="s">
        <v>818</v>
      </c>
      <c r="AL143" s="107">
        <v>100000</v>
      </c>
      <c r="AM143" s="65">
        <v>1</v>
      </c>
      <c r="AN143" s="1" t="s">
        <v>886</v>
      </c>
      <c r="AO143" s="5" t="s">
        <v>46</v>
      </c>
      <c r="AP143" s="1">
        <v>11</v>
      </c>
      <c r="AQ143" s="2">
        <v>60000</v>
      </c>
      <c r="AR143" s="1">
        <v>6</v>
      </c>
      <c r="AS143" s="1">
        <v>3</v>
      </c>
      <c r="AT143" s="1">
        <v>4</v>
      </c>
      <c r="AU143" s="1">
        <v>7</v>
      </c>
      <c r="AV143" t="s">
        <v>65</v>
      </c>
      <c r="AW143" s="1" t="s">
        <v>24</v>
      </c>
      <c r="AX143" s="1" t="s">
        <v>28</v>
      </c>
    </row>
    <row r="144" spans="36:50" x14ac:dyDescent="0.25">
      <c r="AJ144" s="5" t="s">
        <v>366</v>
      </c>
      <c r="AK144" s="5" t="s">
        <v>817</v>
      </c>
      <c r="AL144" s="107">
        <v>60000</v>
      </c>
      <c r="AM144" s="65">
        <v>1</v>
      </c>
      <c r="AN144" s="1" t="s">
        <v>886</v>
      </c>
      <c r="AO144" s="5" t="s">
        <v>100</v>
      </c>
      <c r="AP144" s="1">
        <v>1</v>
      </c>
      <c r="AQ144" s="2">
        <v>150000</v>
      </c>
      <c r="AR144" s="1">
        <v>7</v>
      </c>
      <c r="AS144" s="1">
        <v>3</v>
      </c>
      <c r="AT144" s="1">
        <v>4</v>
      </c>
      <c r="AU144" s="1">
        <v>7</v>
      </c>
      <c r="AV144" s="5" t="s">
        <v>101</v>
      </c>
      <c r="AW144" s="1" t="s">
        <v>37</v>
      </c>
      <c r="AX144" s="1" t="s">
        <v>37</v>
      </c>
    </row>
    <row r="145" spans="36:50" x14ac:dyDescent="0.25">
      <c r="AJ145" s="5" t="s">
        <v>367</v>
      </c>
      <c r="AK145" s="5" t="s">
        <v>647</v>
      </c>
      <c r="AL145" s="107"/>
      <c r="AN145" s="1" t="s">
        <v>886</v>
      </c>
      <c r="AO145" s="99" t="s">
        <v>721</v>
      </c>
      <c r="AP145" s="92">
        <v>1</v>
      </c>
      <c r="AQ145" s="100">
        <v>160000</v>
      </c>
      <c r="AR145" s="92">
        <v>6</v>
      </c>
      <c r="AS145" s="92">
        <v>3</v>
      </c>
      <c r="AT145" s="92">
        <v>4</v>
      </c>
      <c r="AU145" s="92">
        <v>8</v>
      </c>
      <c r="AV145" s="65" t="s">
        <v>722</v>
      </c>
      <c r="AW145" s="1" t="s">
        <v>37</v>
      </c>
      <c r="AX145" s="1" t="s">
        <v>37</v>
      </c>
    </row>
    <row r="146" spans="36:50" x14ac:dyDescent="0.25">
      <c r="AJ146" s="5" t="s">
        <v>677</v>
      </c>
      <c r="AK146" s="5" t="s">
        <v>647</v>
      </c>
      <c r="AL146" s="107"/>
      <c r="AN146" s="1" t="s">
        <v>886</v>
      </c>
      <c r="AO146" s="99" t="s">
        <v>725</v>
      </c>
      <c r="AP146" s="92">
        <v>1</v>
      </c>
      <c r="AQ146" s="100">
        <v>170000</v>
      </c>
      <c r="AR146" s="92">
        <v>7</v>
      </c>
      <c r="AS146" s="92">
        <v>3</v>
      </c>
      <c r="AT146" s="92">
        <v>4</v>
      </c>
      <c r="AU146" s="92">
        <v>8</v>
      </c>
      <c r="AV146" s="65" t="s">
        <v>726</v>
      </c>
      <c r="AW146" s="1" t="s">
        <v>37</v>
      </c>
      <c r="AX146" s="1" t="s">
        <v>37</v>
      </c>
    </row>
    <row r="147" spans="36:50" x14ac:dyDescent="0.25">
      <c r="AJ147" s="5" t="s">
        <v>678</v>
      </c>
      <c r="AK147" s="5" t="s">
        <v>647</v>
      </c>
      <c r="AL147" s="107"/>
      <c r="AN147" s="1" t="s">
        <v>886</v>
      </c>
      <c r="AO147" s="99" t="s">
        <v>723</v>
      </c>
      <c r="AP147" s="92">
        <v>1</v>
      </c>
      <c r="AQ147" s="100">
        <v>190000</v>
      </c>
      <c r="AR147" s="92">
        <v>6</v>
      </c>
      <c r="AS147" s="92">
        <v>3</v>
      </c>
      <c r="AT147" s="92">
        <v>4</v>
      </c>
      <c r="AU147" s="92">
        <v>9</v>
      </c>
      <c r="AV147" s="65" t="s">
        <v>724</v>
      </c>
      <c r="AW147" s="1" t="s">
        <v>37</v>
      </c>
      <c r="AX147" s="1" t="s">
        <v>37</v>
      </c>
    </row>
    <row r="148" spans="36:50" x14ac:dyDescent="0.25">
      <c r="AJ148" s="5" t="s">
        <v>679</v>
      </c>
      <c r="AK148" s="5" t="s">
        <v>647</v>
      </c>
      <c r="AN148" s="1" t="s">
        <v>886</v>
      </c>
      <c r="AO148" s="5" t="s">
        <v>102</v>
      </c>
      <c r="AP148" s="1">
        <v>1</v>
      </c>
      <c r="AQ148" s="2">
        <v>200000</v>
      </c>
      <c r="AR148" s="1">
        <v>8</v>
      </c>
      <c r="AS148" s="1">
        <v>3</v>
      </c>
      <c r="AT148" s="1">
        <v>4</v>
      </c>
      <c r="AU148" s="1">
        <v>7</v>
      </c>
      <c r="AV148" s="5" t="s">
        <v>103</v>
      </c>
      <c r="AW148" s="1" t="s">
        <v>37</v>
      </c>
      <c r="AX148" s="1" t="s">
        <v>37</v>
      </c>
    </row>
    <row r="149" spans="36:50" x14ac:dyDescent="0.25">
      <c r="AJ149" s="5" t="s">
        <v>680</v>
      </c>
      <c r="AK149" s="5" t="s">
        <v>647</v>
      </c>
      <c r="AL149" s="107"/>
      <c r="AN149" s="1" t="s">
        <v>886</v>
      </c>
      <c r="AO149" s="5" t="s">
        <v>117</v>
      </c>
      <c r="AP149" s="1">
        <v>1</v>
      </c>
      <c r="AQ149" s="2">
        <v>230000</v>
      </c>
      <c r="AR149" s="1">
        <v>7</v>
      </c>
      <c r="AS149" s="1">
        <v>4</v>
      </c>
      <c r="AT149" s="1">
        <v>4</v>
      </c>
      <c r="AU149" s="1">
        <v>8</v>
      </c>
      <c r="AV149" s="5" t="s">
        <v>153</v>
      </c>
      <c r="AW149" s="1" t="s">
        <v>37</v>
      </c>
      <c r="AX149" s="1" t="s">
        <v>37</v>
      </c>
    </row>
    <row r="150" spans="36:50" x14ac:dyDescent="0.25">
      <c r="AJ150" s="5" t="s">
        <v>369</v>
      </c>
      <c r="AK150" s="5" t="s">
        <v>647</v>
      </c>
      <c r="AL150" s="107"/>
      <c r="AN150" s="1" t="s">
        <v>886</v>
      </c>
      <c r="AO150" s="5" t="s">
        <v>287</v>
      </c>
      <c r="AP150" s="1">
        <v>1</v>
      </c>
      <c r="AQ150" s="2">
        <v>260000</v>
      </c>
      <c r="AR150" s="1">
        <v>7</v>
      </c>
      <c r="AS150" s="1">
        <v>4</v>
      </c>
      <c r="AT150" s="1">
        <v>4</v>
      </c>
      <c r="AU150" s="1">
        <v>8</v>
      </c>
      <c r="AV150" s="5" t="s">
        <v>142</v>
      </c>
      <c r="AW150" s="1" t="s">
        <v>37</v>
      </c>
      <c r="AX150" s="1" t="s">
        <v>37</v>
      </c>
    </row>
    <row r="151" spans="36:50" x14ac:dyDescent="0.25">
      <c r="AK151" s="5"/>
      <c r="AL151" s="107"/>
      <c r="AN151" s="1" t="s">
        <v>886</v>
      </c>
      <c r="AO151" s="5" t="s">
        <v>115</v>
      </c>
      <c r="AP151" s="1">
        <v>1</v>
      </c>
      <c r="AQ151" s="2">
        <v>260000</v>
      </c>
      <c r="AR151" s="1">
        <v>8</v>
      </c>
      <c r="AS151" s="1">
        <v>3</v>
      </c>
      <c r="AT151" s="1">
        <v>5</v>
      </c>
      <c r="AU151" s="1">
        <v>7</v>
      </c>
      <c r="AV151" s="5" t="s">
        <v>147</v>
      </c>
      <c r="AW151" s="1" t="s">
        <v>37</v>
      </c>
      <c r="AX151" s="1" t="s">
        <v>37</v>
      </c>
    </row>
    <row r="152" spans="36:50" x14ac:dyDescent="0.25">
      <c r="AJ152" s="106" t="s">
        <v>7</v>
      </c>
      <c r="AK152" s="106" t="s">
        <v>812</v>
      </c>
      <c r="AL152" s="106" t="s">
        <v>10</v>
      </c>
      <c r="AN152" s="1" t="s">
        <v>886</v>
      </c>
      <c r="AO152" s="99" t="s">
        <v>867</v>
      </c>
      <c r="AP152" s="92">
        <v>1</v>
      </c>
      <c r="AQ152" s="100">
        <v>380000</v>
      </c>
      <c r="AR152" s="92">
        <v>5</v>
      </c>
      <c r="AS152" s="92">
        <v>6</v>
      </c>
      <c r="AT152" s="92">
        <v>2</v>
      </c>
      <c r="AU152" s="92">
        <v>10</v>
      </c>
      <c r="AV152" s="99" t="s">
        <v>864</v>
      </c>
      <c r="AW152" s="1" t="s">
        <v>37</v>
      </c>
      <c r="AX152" s="1" t="s">
        <v>37</v>
      </c>
    </row>
    <row r="153" spans="36:50" x14ac:dyDescent="0.25">
      <c r="AJ153"/>
      <c r="AK153" s="1"/>
      <c r="AN153" s="1" t="s">
        <v>886</v>
      </c>
      <c r="AO153" s="5" t="s">
        <v>128</v>
      </c>
      <c r="AP153" s="1">
        <v>1</v>
      </c>
      <c r="AQ153" s="2">
        <v>390000</v>
      </c>
      <c r="AR153" s="1">
        <v>7</v>
      </c>
      <c r="AS153" s="1">
        <v>3</v>
      </c>
      <c r="AT153" s="1">
        <v>4</v>
      </c>
      <c r="AU153" s="1">
        <v>8</v>
      </c>
      <c r="AV153" s="5" t="s">
        <v>173</v>
      </c>
      <c r="AW153" s="1" t="s">
        <v>37</v>
      </c>
      <c r="AX153" s="1" t="s">
        <v>37</v>
      </c>
    </row>
    <row r="154" spans="36:50" x14ac:dyDescent="0.25">
      <c r="AJ154" t="s">
        <v>6</v>
      </c>
      <c r="AK154" s="5" t="s">
        <v>647</v>
      </c>
      <c r="AL154" s="107"/>
      <c r="AN154" s="1" t="s">
        <v>886</v>
      </c>
      <c r="AO154" s="5" t="s">
        <v>129</v>
      </c>
      <c r="AP154" s="1">
        <v>1</v>
      </c>
      <c r="AQ154" s="1" t="s">
        <v>37</v>
      </c>
      <c r="AR154" s="1">
        <v>7</v>
      </c>
      <c r="AS154" s="1">
        <v>3</v>
      </c>
      <c r="AT154" s="1">
        <v>5</v>
      </c>
      <c r="AU154" s="1">
        <v>7</v>
      </c>
      <c r="AV154" s="5" t="s">
        <v>174</v>
      </c>
      <c r="AW154" s="1" t="s">
        <v>37</v>
      </c>
      <c r="AX154" s="1" t="s">
        <v>37</v>
      </c>
    </row>
    <row r="155" spans="36:50" x14ac:dyDescent="0.25">
      <c r="AJ155" t="s">
        <v>274</v>
      </c>
      <c r="AK155" s="5" t="s">
        <v>647</v>
      </c>
      <c r="AL155" s="107"/>
      <c r="AN155" s="1" t="s">
        <v>886</v>
      </c>
      <c r="AO155" s="99" t="s">
        <v>877</v>
      </c>
      <c r="AP155" s="92">
        <v>16</v>
      </c>
      <c r="AQ155" s="100">
        <v>400000</v>
      </c>
      <c r="AR155" s="92">
        <v>6</v>
      </c>
      <c r="AS155" s="92">
        <v>7</v>
      </c>
      <c r="AT155" s="92">
        <v>2</v>
      </c>
      <c r="AU155" s="92">
        <v>10</v>
      </c>
      <c r="AV155" s="99" t="s">
        <v>878</v>
      </c>
      <c r="AW155" s="1" t="s">
        <v>37</v>
      </c>
      <c r="AX155" s="1" t="s">
        <v>37</v>
      </c>
    </row>
    <row r="156" spans="36:50" x14ac:dyDescent="0.25">
      <c r="AJ156" s="5" t="s">
        <v>884</v>
      </c>
      <c r="AK156" s="5" t="s">
        <v>647</v>
      </c>
      <c r="AL156" s="107"/>
      <c r="AN156" s="1" t="s">
        <v>886</v>
      </c>
      <c r="AO156" s="5" t="s">
        <v>35</v>
      </c>
      <c r="AP156" s="1">
        <v>1</v>
      </c>
      <c r="AQ156" s="2">
        <v>430000</v>
      </c>
      <c r="AR156" s="1">
        <v>6</v>
      </c>
      <c r="AS156" s="1">
        <v>6</v>
      </c>
      <c r="AT156" s="1">
        <v>3</v>
      </c>
      <c r="AU156" s="1">
        <v>10</v>
      </c>
      <c r="AV156" s="5" t="s">
        <v>151</v>
      </c>
      <c r="AW156" s="1" t="s">
        <v>37</v>
      </c>
      <c r="AX156" s="1" t="s">
        <v>37</v>
      </c>
    </row>
    <row r="157" spans="36:50" x14ac:dyDescent="0.25">
      <c r="AJ157" t="s">
        <v>661</v>
      </c>
      <c r="AK157" s="5" t="s">
        <v>647</v>
      </c>
      <c r="AL157" s="107"/>
      <c r="AN157" s="1" t="s">
        <v>178</v>
      </c>
      <c r="AO157" s="5"/>
      <c r="AP157" s="1"/>
      <c r="AQ157" s="2"/>
      <c r="AR157" s="1"/>
      <c r="AS157" s="1"/>
      <c r="AT157" s="1"/>
      <c r="AU157" s="1"/>
      <c r="AV157"/>
      <c r="AW157" s="1"/>
      <c r="AX157" s="1"/>
    </row>
    <row r="158" spans="36:50" x14ac:dyDescent="0.25">
      <c r="AJ158" t="s">
        <v>885</v>
      </c>
      <c r="AK158" s="5" t="s">
        <v>647</v>
      </c>
      <c r="AL158" s="107"/>
      <c r="AN158" s="1" t="s">
        <v>178</v>
      </c>
      <c r="AO158" s="5" t="s">
        <v>178</v>
      </c>
      <c r="AP158" s="1">
        <v>16</v>
      </c>
      <c r="AQ158" s="2">
        <v>40000</v>
      </c>
      <c r="AR158" s="1">
        <v>6</v>
      </c>
      <c r="AS158" s="1">
        <v>2</v>
      </c>
      <c r="AT158" s="1">
        <v>3</v>
      </c>
      <c r="AU158" s="1">
        <v>7</v>
      </c>
      <c r="AV158" t="s">
        <v>301</v>
      </c>
      <c r="AW158" s="1" t="s">
        <v>85</v>
      </c>
      <c r="AX158" s="1" t="s">
        <v>284</v>
      </c>
    </row>
    <row r="159" spans="36:50" x14ac:dyDescent="0.25">
      <c r="AJ159" t="s">
        <v>662</v>
      </c>
      <c r="AK159" s="5" t="s">
        <v>647</v>
      </c>
      <c r="AL159" s="107"/>
      <c r="AN159" s="1" t="s">
        <v>178</v>
      </c>
      <c r="AO159" s="5" t="s">
        <v>179</v>
      </c>
      <c r="AP159" s="1">
        <v>1</v>
      </c>
      <c r="AQ159" s="2">
        <v>40000</v>
      </c>
      <c r="AR159" s="1">
        <v>6</v>
      </c>
      <c r="AS159" s="1">
        <v>2</v>
      </c>
      <c r="AT159" s="1">
        <v>3</v>
      </c>
      <c r="AU159" s="1">
        <v>7</v>
      </c>
      <c r="AV159" t="s">
        <v>226</v>
      </c>
      <c r="AW159" s="1" t="s">
        <v>85</v>
      </c>
      <c r="AX159" s="1" t="s">
        <v>284</v>
      </c>
    </row>
    <row r="160" spans="36:50" x14ac:dyDescent="0.25">
      <c r="AJ160" t="s">
        <v>663</v>
      </c>
      <c r="AK160" s="5" t="s">
        <v>647</v>
      </c>
      <c r="AL160" s="107"/>
      <c r="AN160" s="1" t="s">
        <v>178</v>
      </c>
      <c r="AO160" s="5" t="s">
        <v>181</v>
      </c>
      <c r="AP160" s="1">
        <v>1</v>
      </c>
      <c r="AQ160" s="2">
        <v>40000</v>
      </c>
      <c r="AR160" s="1">
        <v>6</v>
      </c>
      <c r="AS160" s="1">
        <v>2</v>
      </c>
      <c r="AT160" s="1">
        <v>3</v>
      </c>
      <c r="AU160" s="1">
        <v>7</v>
      </c>
      <c r="AV160" t="s">
        <v>632</v>
      </c>
      <c r="AW160" s="1" t="s">
        <v>85</v>
      </c>
      <c r="AX160" s="1" t="s">
        <v>284</v>
      </c>
    </row>
    <row r="161" spans="36:50" x14ac:dyDescent="0.25">
      <c r="AJ161" t="s">
        <v>254</v>
      </c>
      <c r="AK161" s="5" t="s">
        <v>647</v>
      </c>
      <c r="AL161" s="107"/>
      <c r="AN161" s="1" t="s">
        <v>178</v>
      </c>
      <c r="AO161" s="5" t="s">
        <v>220</v>
      </c>
      <c r="AP161" s="1">
        <v>1</v>
      </c>
      <c r="AQ161" s="2">
        <v>60000</v>
      </c>
      <c r="AR161" s="1">
        <v>6</v>
      </c>
      <c r="AS161" s="1">
        <v>2</v>
      </c>
      <c r="AT161" s="1">
        <v>3</v>
      </c>
      <c r="AU161" s="1">
        <v>7</v>
      </c>
      <c r="AV161" t="s">
        <v>253</v>
      </c>
      <c r="AW161" s="1" t="s">
        <v>85</v>
      </c>
      <c r="AX161" s="1" t="s">
        <v>284</v>
      </c>
    </row>
    <row r="162" spans="36:50" x14ac:dyDescent="0.25">
      <c r="AJ162" t="s">
        <v>886</v>
      </c>
      <c r="AK162" s="5" t="s">
        <v>647</v>
      </c>
      <c r="AL162" s="107"/>
      <c r="AN162" s="1" t="s">
        <v>178</v>
      </c>
      <c r="AO162" s="5" t="s">
        <v>221</v>
      </c>
      <c r="AP162" s="1">
        <v>1</v>
      </c>
      <c r="AQ162" s="2">
        <v>70000</v>
      </c>
      <c r="AR162" s="1">
        <v>6</v>
      </c>
      <c r="AS162" s="1">
        <v>2</v>
      </c>
      <c r="AT162" s="1">
        <v>3</v>
      </c>
      <c r="AU162" s="1">
        <v>7</v>
      </c>
      <c r="AV162" t="s">
        <v>586</v>
      </c>
      <c r="AW162" s="1" t="s">
        <v>85</v>
      </c>
      <c r="AX162" s="1" t="s">
        <v>284</v>
      </c>
    </row>
    <row r="163" spans="36:50" x14ac:dyDescent="0.25">
      <c r="AJ163" t="s">
        <v>178</v>
      </c>
      <c r="AK163" s="5" t="s">
        <v>647</v>
      </c>
      <c r="AL163" s="107"/>
      <c r="AN163" s="1" t="s">
        <v>178</v>
      </c>
      <c r="AO163" s="5" t="s">
        <v>182</v>
      </c>
      <c r="AP163" s="1">
        <v>1</v>
      </c>
      <c r="AQ163" s="2">
        <v>70000</v>
      </c>
      <c r="AR163" s="1">
        <v>3</v>
      </c>
      <c r="AS163" s="1">
        <v>7</v>
      </c>
      <c r="AT163" s="1">
        <v>3</v>
      </c>
      <c r="AU163" s="1">
        <v>7</v>
      </c>
      <c r="AV163" t="s">
        <v>228</v>
      </c>
      <c r="AW163" s="1" t="s">
        <v>61</v>
      </c>
      <c r="AX163" s="1" t="s">
        <v>45</v>
      </c>
    </row>
    <row r="164" spans="36:50" x14ac:dyDescent="0.25">
      <c r="AJ164" t="s">
        <v>184</v>
      </c>
      <c r="AK164" s="5" t="s">
        <v>819</v>
      </c>
      <c r="AL164" s="107">
        <v>40000</v>
      </c>
      <c r="AM164" s="65">
        <v>3</v>
      </c>
      <c r="AN164" s="1" t="s">
        <v>178</v>
      </c>
      <c r="AO164" s="5" t="s">
        <v>180</v>
      </c>
      <c r="AP164" s="1">
        <v>1</v>
      </c>
      <c r="AQ164" s="2">
        <v>70000</v>
      </c>
      <c r="AR164" s="1">
        <v>7</v>
      </c>
      <c r="AS164" s="1">
        <v>2</v>
      </c>
      <c r="AT164" s="1">
        <v>3</v>
      </c>
      <c r="AU164" s="1">
        <v>7</v>
      </c>
      <c r="AV164" t="s">
        <v>227</v>
      </c>
      <c r="AW164" s="1" t="s">
        <v>85</v>
      </c>
      <c r="AX164" s="1" t="s">
        <v>284</v>
      </c>
    </row>
    <row r="165" spans="36:50" x14ac:dyDescent="0.25">
      <c r="AJ165" t="s">
        <v>664</v>
      </c>
      <c r="AK165" s="5" t="s">
        <v>647</v>
      </c>
      <c r="AL165" s="107"/>
      <c r="AN165" s="1" t="s">
        <v>178</v>
      </c>
      <c r="AO165" s="5" t="s">
        <v>183</v>
      </c>
      <c r="AP165" s="1">
        <v>2</v>
      </c>
      <c r="AQ165" s="2">
        <v>110000</v>
      </c>
      <c r="AR165" s="1">
        <v>4</v>
      </c>
      <c r="AS165" s="1">
        <v>5</v>
      </c>
      <c r="AT165" s="1">
        <v>1</v>
      </c>
      <c r="AU165" s="1">
        <v>9</v>
      </c>
      <c r="AV165" t="s">
        <v>229</v>
      </c>
      <c r="AW165" s="1" t="s">
        <v>61</v>
      </c>
      <c r="AX165" s="1" t="s">
        <v>45</v>
      </c>
    </row>
    <row r="166" spans="36:50" x14ac:dyDescent="0.25">
      <c r="AJ166" t="s">
        <v>256</v>
      </c>
      <c r="AK166" s="5" t="s">
        <v>647</v>
      </c>
      <c r="AL166" s="107"/>
      <c r="AN166" s="1" t="s">
        <v>178</v>
      </c>
      <c r="AO166" s="5" t="s">
        <v>46</v>
      </c>
      <c r="AP166" s="1">
        <v>11</v>
      </c>
      <c r="AQ166" s="2">
        <v>40000</v>
      </c>
      <c r="AR166" s="1">
        <v>6</v>
      </c>
      <c r="AS166" s="1">
        <v>2</v>
      </c>
      <c r="AT166" s="1">
        <v>3</v>
      </c>
      <c r="AU166" s="1">
        <v>7</v>
      </c>
      <c r="AV166" t="s">
        <v>302</v>
      </c>
      <c r="AW166" s="1" t="s">
        <v>85</v>
      </c>
      <c r="AX166" s="1" t="s">
        <v>284</v>
      </c>
    </row>
    <row r="167" spans="36:50" x14ac:dyDescent="0.25">
      <c r="AJ167" s="5" t="s">
        <v>887</v>
      </c>
      <c r="AK167" s="5" t="s">
        <v>647</v>
      </c>
      <c r="AL167" s="107"/>
      <c r="AN167" s="1" t="s">
        <v>178</v>
      </c>
      <c r="AO167" s="5" t="s">
        <v>91</v>
      </c>
      <c r="AP167" s="1">
        <v>1</v>
      </c>
      <c r="AQ167" s="2">
        <v>60000</v>
      </c>
      <c r="AR167" s="1">
        <v>6</v>
      </c>
      <c r="AS167" s="1">
        <v>2</v>
      </c>
      <c r="AT167" s="1">
        <v>3</v>
      </c>
      <c r="AU167" s="1">
        <v>7</v>
      </c>
      <c r="AV167" s="5" t="s">
        <v>92</v>
      </c>
      <c r="AW167" s="1" t="s">
        <v>37</v>
      </c>
      <c r="AX167" s="1" t="s">
        <v>37</v>
      </c>
    </row>
    <row r="168" spans="36:50" x14ac:dyDescent="0.25">
      <c r="AJ168" t="s">
        <v>258</v>
      </c>
      <c r="AK168" s="5" t="s">
        <v>647</v>
      </c>
      <c r="AL168" s="107"/>
      <c r="AN168" s="1" t="s">
        <v>178</v>
      </c>
      <c r="AO168" s="5" t="s">
        <v>106</v>
      </c>
      <c r="AP168" s="1">
        <v>1</v>
      </c>
      <c r="AQ168" s="2">
        <v>80000</v>
      </c>
      <c r="AR168" s="1">
        <v>4</v>
      </c>
      <c r="AS168" s="1">
        <v>7</v>
      </c>
      <c r="AT168" s="1">
        <v>3</v>
      </c>
      <c r="AU168" s="1">
        <v>7</v>
      </c>
      <c r="AV168" s="5" t="s">
        <v>132</v>
      </c>
      <c r="AW168" s="1" t="s">
        <v>37</v>
      </c>
      <c r="AX168" s="1" t="s">
        <v>37</v>
      </c>
    </row>
    <row r="169" spans="36:50" x14ac:dyDescent="0.25">
      <c r="AJ169" t="s">
        <v>260</v>
      </c>
      <c r="AK169" s="5" t="s">
        <v>647</v>
      </c>
      <c r="AL169" s="107"/>
      <c r="AN169" s="1" t="s">
        <v>178</v>
      </c>
      <c r="AO169" s="5" t="s">
        <v>67</v>
      </c>
      <c r="AP169" s="1">
        <v>1</v>
      </c>
      <c r="AQ169" s="2">
        <v>130000</v>
      </c>
      <c r="AR169" s="1">
        <v>6</v>
      </c>
      <c r="AS169" s="1">
        <v>2</v>
      </c>
      <c r="AT169" s="1">
        <v>3</v>
      </c>
      <c r="AU169" s="1">
        <v>7</v>
      </c>
      <c r="AV169" s="5" t="s">
        <v>152</v>
      </c>
      <c r="AW169" s="1" t="s">
        <v>37</v>
      </c>
      <c r="AX169" s="1" t="s">
        <v>37</v>
      </c>
    </row>
    <row r="170" spans="36:50" x14ac:dyDescent="0.25">
      <c r="AJ170" t="s">
        <v>263</v>
      </c>
      <c r="AK170" s="5" t="s">
        <v>647</v>
      </c>
      <c r="AL170" s="107"/>
      <c r="AN170" s="1" t="s">
        <v>178</v>
      </c>
      <c r="AO170" s="5" t="s">
        <v>120</v>
      </c>
      <c r="AP170" s="1">
        <v>1</v>
      </c>
      <c r="AQ170" s="2">
        <v>150000</v>
      </c>
      <c r="AR170" s="1">
        <v>7</v>
      </c>
      <c r="AS170" s="1">
        <v>2</v>
      </c>
      <c r="AT170" s="1">
        <v>3</v>
      </c>
      <c r="AU170" s="1">
        <v>7</v>
      </c>
      <c r="AV170" s="5" t="s">
        <v>620</v>
      </c>
      <c r="AW170" s="1" t="s">
        <v>37</v>
      </c>
      <c r="AX170" s="1" t="s">
        <v>37</v>
      </c>
    </row>
    <row r="171" spans="36:50" x14ac:dyDescent="0.25">
      <c r="AJ171" t="s">
        <v>265</v>
      </c>
      <c r="AK171" s="5" t="s">
        <v>813</v>
      </c>
      <c r="AL171" s="107">
        <v>40000</v>
      </c>
      <c r="AM171" s="65">
        <v>1</v>
      </c>
      <c r="AN171" s="1" t="s">
        <v>178</v>
      </c>
      <c r="AO171" s="5" t="s">
        <v>126</v>
      </c>
      <c r="AP171" s="1">
        <v>1</v>
      </c>
      <c r="AQ171" s="2">
        <v>170000</v>
      </c>
      <c r="AR171" s="1">
        <v>6</v>
      </c>
      <c r="AS171" s="1">
        <v>4</v>
      </c>
      <c r="AT171" s="1">
        <v>3</v>
      </c>
      <c r="AU171" s="1">
        <v>8</v>
      </c>
      <c r="AV171" s="5" t="s">
        <v>170</v>
      </c>
      <c r="AW171" s="1" t="s">
        <v>37</v>
      </c>
      <c r="AX171" s="1" t="s">
        <v>37</v>
      </c>
    </row>
    <row r="172" spans="36:50" x14ac:dyDescent="0.25">
      <c r="AJ172" t="s">
        <v>185</v>
      </c>
      <c r="AK172" s="5" t="s">
        <v>819</v>
      </c>
      <c r="AL172" s="107">
        <v>40000</v>
      </c>
      <c r="AM172" s="65">
        <v>3</v>
      </c>
      <c r="AN172" s="1" t="s">
        <v>178</v>
      </c>
      <c r="AO172" s="5" t="s">
        <v>285</v>
      </c>
      <c r="AP172" s="1">
        <v>1</v>
      </c>
      <c r="AQ172" s="2">
        <v>270000</v>
      </c>
      <c r="AR172" s="1">
        <v>4</v>
      </c>
      <c r="AS172" s="1">
        <v>6</v>
      </c>
      <c r="AT172" s="1">
        <v>1</v>
      </c>
      <c r="AU172" s="1">
        <v>9</v>
      </c>
      <c r="AV172" s="5" t="s">
        <v>158</v>
      </c>
      <c r="AW172" s="1" t="s">
        <v>37</v>
      </c>
      <c r="AX172" s="1" t="s">
        <v>37</v>
      </c>
    </row>
    <row r="173" spans="36:50" x14ac:dyDescent="0.25">
      <c r="AJ173" t="s">
        <v>266</v>
      </c>
      <c r="AK173" s="5" t="s">
        <v>647</v>
      </c>
      <c r="AL173" s="107"/>
      <c r="AN173" s="1" t="s">
        <v>178</v>
      </c>
      <c r="AO173" s="99" t="s">
        <v>867</v>
      </c>
      <c r="AP173" s="92">
        <v>1</v>
      </c>
      <c r="AQ173" s="100">
        <v>380000</v>
      </c>
      <c r="AR173" s="92">
        <v>5</v>
      </c>
      <c r="AS173" s="92">
        <v>6</v>
      </c>
      <c r="AT173" s="92">
        <v>2</v>
      </c>
      <c r="AU173" s="92">
        <v>10</v>
      </c>
      <c r="AV173" s="99" t="s">
        <v>864</v>
      </c>
      <c r="AW173" s="1" t="s">
        <v>37</v>
      </c>
      <c r="AX173" s="1" t="s">
        <v>37</v>
      </c>
    </row>
    <row r="174" spans="36:50" x14ac:dyDescent="0.25">
      <c r="AJ174" t="s">
        <v>343</v>
      </c>
      <c r="AK174" s="5" t="s">
        <v>647</v>
      </c>
      <c r="AL174" s="107"/>
      <c r="AN174" s="1" t="s">
        <v>178</v>
      </c>
      <c r="AO174" s="99" t="s">
        <v>877</v>
      </c>
      <c r="AP174" s="92">
        <v>16</v>
      </c>
      <c r="AQ174" s="100">
        <v>400000</v>
      </c>
      <c r="AR174" s="92">
        <v>6</v>
      </c>
      <c r="AS174" s="92">
        <v>7</v>
      </c>
      <c r="AT174" s="92">
        <v>2</v>
      </c>
      <c r="AU174" s="92">
        <v>10</v>
      </c>
      <c r="AV174" s="99" t="s">
        <v>878</v>
      </c>
      <c r="AW174" s="1" t="s">
        <v>37</v>
      </c>
      <c r="AX174" s="1" t="s">
        <v>37</v>
      </c>
    </row>
    <row r="175" spans="36:50" x14ac:dyDescent="0.25">
      <c r="AJ175" t="s">
        <v>272</v>
      </c>
      <c r="AK175" s="5" t="s">
        <v>647</v>
      </c>
      <c r="AL175" s="107"/>
      <c r="AN175" s="1" t="s">
        <v>178</v>
      </c>
      <c r="AO175" s="5" t="s">
        <v>35</v>
      </c>
      <c r="AP175" s="1">
        <v>1</v>
      </c>
      <c r="AQ175" s="2">
        <v>430000</v>
      </c>
      <c r="AR175" s="1">
        <v>6</v>
      </c>
      <c r="AS175" s="1">
        <v>6</v>
      </c>
      <c r="AT175" s="1">
        <v>3</v>
      </c>
      <c r="AU175" s="1">
        <v>10</v>
      </c>
      <c r="AV175" s="5" t="s">
        <v>151</v>
      </c>
      <c r="AW175" s="1" t="s">
        <v>37</v>
      </c>
      <c r="AX175" s="1" t="s">
        <v>37</v>
      </c>
    </row>
    <row r="176" spans="36:50" x14ac:dyDescent="0.25">
      <c r="AJ176" t="s">
        <v>267</v>
      </c>
      <c r="AK176" s="5" t="s">
        <v>647</v>
      </c>
      <c r="AL176" s="107"/>
      <c r="AN176" s="1" t="s">
        <v>184</v>
      </c>
      <c r="AO176" s="5"/>
      <c r="AP176" s="1"/>
      <c r="AQ176" s="2"/>
      <c r="AR176" s="1"/>
      <c r="AS176" s="1"/>
      <c r="AT176" s="1"/>
      <c r="AU176" s="1"/>
      <c r="AV176"/>
      <c r="AW176" s="1"/>
      <c r="AX176" s="1"/>
    </row>
    <row r="177" spans="36:50" x14ac:dyDescent="0.25">
      <c r="AJ177" t="s">
        <v>268</v>
      </c>
      <c r="AK177" s="5" t="s">
        <v>647</v>
      </c>
      <c r="AL177" s="107"/>
      <c r="AN177" s="1" t="s">
        <v>184</v>
      </c>
      <c r="AO177" s="5" t="s">
        <v>184</v>
      </c>
      <c r="AP177" s="1">
        <v>16</v>
      </c>
      <c r="AQ177" s="2">
        <v>30000</v>
      </c>
      <c r="AR177" s="1">
        <v>5</v>
      </c>
      <c r="AS177" s="1">
        <v>2</v>
      </c>
      <c r="AT177" s="1">
        <v>3</v>
      </c>
      <c r="AU177" s="1">
        <v>6</v>
      </c>
      <c r="AV177" t="s">
        <v>788</v>
      </c>
      <c r="AW177" s="1" t="s">
        <v>85</v>
      </c>
      <c r="AX177" s="1" t="s">
        <v>284</v>
      </c>
    </row>
    <row r="178" spans="36:50" x14ac:dyDescent="0.25">
      <c r="AJ178" t="s">
        <v>273</v>
      </c>
      <c r="AK178" s="5" t="s">
        <v>647</v>
      </c>
      <c r="AL178" s="107"/>
      <c r="AN178" s="1" t="s">
        <v>184</v>
      </c>
      <c r="AO178" s="5" t="s">
        <v>807</v>
      </c>
      <c r="AP178" s="1">
        <v>2</v>
      </c>
      <c r="AQ178" s="2">
        <v>50000</v>
      </c>
      <c r="AR178" s="1">
        <v>5</v>
      </c>
      <c r="AS178" s="1">
        <v>2</v>
      </c>
      <c r="AT178" s="1">
        <v>3</v>
      </c>
      <c r="AU178" s="1">
        <v>6</v>
      </c>
      <c r="AV178" t="s">
        <v>803</v>
      </c>
      <c r="AW178" s="1" t="s">
        <v>85</v>
      </c>
      <c r="AX178" s="1" t="s">
        <v>284</v>
      </c>
    </row>
    <row r="179" spans="36:50" x14ac:dyDescent="0.25">
      <c r="AJ179" t="s">
        <v>210</v>
      </c>
      <c r="AK179" s="5" t="s">
        <v>647</v>
      </c>
      <c r="AL179" s="107"/>
      <c r="AN179" s="1" t="s">
        <v>184</v>
      </c>
      <c r="AO179" s="5" t="s">
        <v>808</v>
      </c>
      <c r="AP179" s="1">
        <v>2</v>
      </c>
      <c r="AQ179" s="2">
        <v>50000</v>
      </c>
      <c r="AR179" s="1">
        <v>5</v>
      </c>
      <c r="AS179" s="1">
        <v>2</v>
      </c>
      <c r="AT179" s="1">
        <v>3</v>
      </c>
      <c r="AU179" s="1">
        <v>7</v>
      </c>
      <c r="AV179" t="s">
        <v>804</v>
      </c>
      <c r="AW179" s="1" t="s">
        <v>29</v>
      </c>
      <c r="AX179" s="1" t="s">
        <v>25</v>
      </c>
    </row>
    <row r="180" spans="36:50" x14ac:dyDescent="0.25">
      <c r="AJ180" t="s">
        <v>665</v>
      </c>
      <c r="AK180" s="5" t="s">
        <v>647</v>
      </c>
      <c r="AL180" s="107"/>
      <c r="AN180" s="1" t="s">
        <v>184</v>
      </c>
      <c r="AO180" s="5" t="s">
        <v>255</v>
      </c>
      <c r="AP180" s="1">
        <v>2</v>
      </c>
      <c r="AQ180" s="2">
        <v>120000</v>
      </c>
      <c r="AR180" s="1">
        <v>2</v>
      </c>
      <c r="AS180" s="1">
        <v>6</v>
      </c>
      <c r="AT180" s="1">
        <v>1</v>
      </c>
      <c r="AU180" s="1">
        <v>10</v>
      </c>
      <c r="AV180" t="s">
        <v>310</v>
      </c>
      <c r="AW180" s="1" t="s">
        <v>61</v>
      </c>
      <c r="AX180" s="1" t="s">
        <v>45</v>
      </c>
    </row>
    <row r="181" spans="36:50" x14ac:dyDescent="0.25">
      <c r="AJ181"/>
      <c r="AK181" s="5" t="s">
        <v>647</v>
      </c>
      <c r="AL181" s="107"/>
      <c r="AN181" s="1" t="s">
        <v>184</v>
      </c>
      <c r="AO181" s="5" t="s">
        <v>46</v>
      </c>
      <c r="AP181" s="1">
        <v>11</v>
      </c>
      <c r="AQ181" s="2">
        <v>30000</v>
      </c>
      <c r="AR181" s="1">
        <v>5</v>
      </c>
      <c r="AS181" s="1">
        <v>2</v>
      </c>
      <c r="AT181" s="1">
        <v>3</v>
      </c>
      <c r="AU181" s="1">
        <v>6</v>
      </c>
      <c r="AV181" t="s">
        <v>302</v>
      </c>
      <c r="AW181" s="1" t="s">
        <v>85</v>
      </c>
      <c r="AX181" s="1" t="s">
        <v>284</v>
      </c>
    </row>
    <row r="182" spans="36:50" x14ac:dyDescent="0.25">
      <c r="AJ182" t="s">
        <v>666</v>
      </c>
      <c r="AK182" s="5" t="s">
        <v>647</v>
      </c>
      <c r="AL182" s="107"/>
      <c r="AN182" s="1" t="s">
        <v>184</v>
      </c>
      <c r="AO182" s="5" t="s">
        <v>785</v>
      </c>
      <c r="AP182" s="1">
        <v>1</v>
      </c>
      <c r="AQ182" s="2">
        <v>50000</v>
      </c>
      <c r="AR182" s="1">
        <v>5</v>
      </c>
      <c r="AS182" s="1">
        <v>2</v>
      </c>
      <c r="AT182" s="1">
        <v>3</v>
      </c>
      <c r="AU182" s="1">
        <v>6</v>
      </c>
      <c r="AV182" t="s">
        <v>790</v>
      </c>
      <c r="AW182" s="1" t="s">
        <v>37</v>
      </c>
      <c r="AX182" s="1" t="s">
        <v>37</v>
      </c>
    </row>
    <row r="183" spans="36:50" x14ac:dyDescent="0.25">
      <c r="AJ183" s="5" t="s">
        <v>359</v>
      </c>
      <c r="AK183" s="5" t="s">
        <v>647</v>
      </c>
      <c r="AL183" s="107"/>
      <c r="AN183" s="1" t="s">
        <v>184</v>
      </c>
      <c r="AO183" s="5" t="s">
        <v>784</v>
      </c>
      <c r="AP183" s="1">
        <v>1</v>
      </c>
      <c r="AQ183" s="2">
        <v>70000</v>
      </c>
      <c r="AR183" s="1">
        <v>5</v>
      </c>
      <c r="AS183" s="1">
        <v>2</v>
      </c>
      <c r="AT183" s="1">
        <v>3</v>
      </c>
      <c r="AU183" s="1">
        <v>6</v>
      </c>
      <c r="AV183" t="s">
        <v>789</v>
      </c>
      <c r="AW183" s="1" t="s">
        <v>37</v>
      </c>
      <c r="AX183" s="1" t="s">
        <v>37</v>
      </c>
    </row>
    <row r="184" spans="36:50" x14ac:dyDescent="0.25">
      <c r="AJ184" s="5" t="s">
        <v>360</v>
      </c>
      <c r="AK184" s="5" t="s">
        <v>647</v>
      </c>
      <c r="AL184" s="107"/>
      <c r="AN184" s="1" t="s">
        <v>184</v>
      </c>
      <c r="AO184" s="5" t="s">
        <v>869</v>
      </c>
      <c r="AP184" s="1">
        <v>1</v>
      </c>
      <c r="AQ184" s="2">
        <v>100000</v>
      </c>
      <c r="AR184" s="1">
        <v>6</v>
      </c>
      <c r="AS184" s="1">
        <v>2</v>
      </c>
      <c r="AT184" s="1">
        <v>3</v>
      </c>
      <c r="AU184" s="1">
        <v>7</v>
      </c>
      <c r="AV184" t="s">
        <v>793</v>
      </c>
      <c r="AW184" s="1" t="s">
        <v>37</v>
      </c>
      <c r="AX184" s="1" t="s">
        <v>37</v>
      </c>
    </row>
    <row r="185" spans="36:50" x14ac:dyDescent="0.25">
      <c r="AJ185" s="5" t="s">
        <v>361</v>
      </c>
      <c r="AK185" s="5" t="s">
        <v>647</v>
      </c>
      <c r="AL185" s="107"/>
      <c r="AN185" s="1" t="s">
        <v>184</v>
      </c>
      <c r="AO185" s="5" t="s">
        <v>787</v>
      </c>
      <c r="AP185" s="1">
        <v>1</v>
      </c>
      <c r="AQ185" s="2">
        <v>120000</v>
      </c>
      <c r="AR185" s="1">
        <v>4</v>
      </c>
      <c r="AS185" s="1">
        <v>3</v>
      </c>
      <c r="AT185" s="1">
        <v>2</v>
      </c>
      <c r="AU185" s="1">
        <v>8</v>
      </c>
      <c r="AV185" t="s">
        <v>792</v>
      </c>
      <c r="AW185" s="1" t="s">
        <v>37</v>
      </c>
      <c r="AX185" s="1" t="s">
        <v>37</v>
      </c>
    </row>
    <row r="186" spans="36:50" x14ac:dyDescent="0.25">
      <c r="AJ186" s="5" t="s">
        <v>667</v>
      </c>
      <c r="AK186" s="5" t="s">
        <v>647</v>
      </c>
      <c r="AL186" s="107"/>
      <c r="AN186" s="1" t="s">
        <v>184</v>
      </c>
      <c r="AO186" s="5" t="s">
        <v>286</v>
      </c>
      <c r="AP186" s="1">
        <v>1</v>
      </c>
      <c r="AQ186" s="2">
        <v>140000</v>
      </c>
      <c r="AR186" s="1">
        <v>5</v>
      </c>
      <c r="AS186" s="1">
        <v>3</v>
      </c>
      <c r="AT186" s="1">
        <v>3</v>
      </c>
      <c r="AU186" s="1">
        <v>6</v>
      </c>
      <c r="AV186" s="5" t="s">
        <v>154</v>
      </c>
      <c r="AW186" s="1" t="s">
        <v>37</v>
      </c>
      <c r="AX186" s="1" t="s">
        <v>37</v>
      </c>
    </row>
    <row r="187" spans="36:50" x14ac:dyDescent="0.25">
      <c r="AJ187" s="5" t="s">
        <v>668</v>
      </c>
      <c r="AK187" s="5" t="s">
        <v>647</v>
      </c>
      <c r="AL187" s="107"/>
      <c r="AN187" s="1" t="s">
        <v>184</v>
      </c>
      <c r="AO187" s="5" t="s">
        <v>31</v>
      </c>
      <c r="AP187" s="1">
        <v>1</v>
      </c>
      <c r="AQ187" s="2">
        <v>150000</v>
      </c>
      <c r="AR187" s="1">
        <v>5</v>
      </c>
      <c r="AS187" s="1">
        <v>4</v>
      </c>
      <c r="AT187" s="1">
        <v>3</v>
      </c>
      <c r="AU187" s="1">
        <v>8</v>
      </c>
      <c r="AV187" s="5" t="s">
        <v>167</v>
      </c>
      <c r="AW187" s="1" t="s">
        <v>37</v>
      </c>
      <c r="AX187" s="1" t="s">
        <v>37</v>
      </c>
    </row>
    <row r="188" spans="36:50" x14ac:dyDescent="0.25">
      <c r="AJ188" s="5" t="s">
        <v>669</v>
      </c>
      <c r="AK188" s="5" t="s">
        <v>647</v>
      </c>
      <c r="AL188" s="107"/>
      <c r="AN188" s="1" t="s">
        <v>184</v>
      </c>
      <c r="AO188" s="5" t="s">
        <v>786</v>
      </c>
      <c r="AP188" s="1">
        <v>1</v>
      </c>
      <c r="AQ188" s="2">
        <v>170000</v>
      </c>
      <c r="AR188" s="1">
        <v>6</v>
      </c>
      <c r="AS188" s="1">
        <v>3</v>
      </c>
      <c r="AT188" s="1">
        <v>3</v>
      </c>
      <c r="AU188" s="1">
        <v>7</v>
      </c>
      <c r="AV188" t="s">
        <v>791</v>
      </c>
      <c r="AW188" s="1" t="s">
        <v>37</v>
      </c>
      <c r="AX188" s="1" t="s">
        <v>37</v>
      </c>
    </row>
    <row r="189" spans="36:50" x14ac:dyDescent="0.25">
      <c r="AJ189" s="5" t="s">
        <v>670</v>
      </c>
      <c r="AK189" s="5" t="s">
        <v>647</v>
      </c>
      <c r="AL189" s="107"/>
      <c r="AN189" s="1" t="s">
        <v>184</v>
      </c>
      <c r="AO189" s="5" t="s">
        <v>125</v>
      </c>
      <c r="AP189" s="1">
        <v>1</v>
      </c>
      <c r="AQ189" s="2">
        <v>220000</v>
      </c>
      <c r="AR189" s="1">
        <v>6</v>
      </c>
      <c r="AS189" s="1">
        <v>4</v>
      </c>
      <c r="AT189" s="1">
        <v>3</v>
      </c>
      <c r="AU189" s="1">
        <v>8</v>
      </c>
      <c r="AV189" s="5" t="s">
        <v>169</v>
      </c>
      <c r="AW189" s="1" t="s">
        <v>37</v>
      </c>
      <c r="AX189" s="1" t="s">
        <v>37</v>
      </c>
    </row>
    <row r="190" spans="36:50" x14ac:dyDescent="0.25">
      <c r="AJ190" s="5" t="s">
        <v>362</v>
      </c>
      <c r="AK190" s="5" t="s">
        <v>647</v>
      </c>
      <c r="AL190" s="107"/>
      <c r="AN190" s="1" t="s">
        <v>184</v>
      </c>
      <c r="AO190" s="5" t="s">
        <v>33</v>
      </c>
      <c r="AP190" s="1">
        <v>1</v>
      </c>
      <c r="AQ190" s="2">
        <v>270000</v>
      </c>
      <c r="AR190" s="1">
        <v>6</v>
      </c>
      <c r="AS190" s="1">
        <v>4</v>
      </c>
      <c r="AT190" s="1">
        <v>3</v>
      </c>
      <c r="AU190" s="1">
        <v>8</v>
      </c>
      <c r="AV190" s="5" t="s">
        <v>168</v>
      </c>
      <c r="AW190" s="1" t="s">
        <v>37</v>
      </c>
      <c r="AX190" s="1" t="s">
        <v>37</v>
      </c>
    </row>
    <row r="191" spans="36:50" x14ac:dyDescent="0.25">
      <c r="AJ191" s="5" t="s">
        <v>671</v>
      </c>
      <c r="AK191" s="5" t="s">
        <v>647</v>
      </c>
      <c r="AL191" s="107"/>
      <c r="AN191" s="1" t="s">
        <v>184</v>
      </c>
      <c r="AO191" s="5" t="s">
        <v>34</v>
      </c>
      <c r="AP191" s="1">
        <v>1</v>
      </c>
      <c r="AQ191" s="2">
        <v>290000</v>
      </c>
      <c r="AR191" s="1">
        <v>6</v>
      </c>
      <c r="AS191" s="1">
        <v>5</v>
      </c>
      <c r="AT191" s="1">
        <v>2</v>
      </c>
      <c r="AU191" s="1">
        <v>9</v>
      </c>
      <c r="AV191" s="5" t="s">
        <v>88</v>
      </c>
      <c r="AW191" s="1" t="s">
        <v>37</v>
      </c>
      <c r="AX191" s="1" t="s">
        <v>37</v>
      </c>
    </row>
    <row r="192" spans="36:50" x14ac:dyDescent="0.25">
      <c r="AJ192" s="5" t="s">
        <v>201</v>
      </c>
      <c r="AK192" s="5" t="s">
        <v>647</v>
      </c>
      <c r="AL192" s="107"/>
      <c r="AN192" s="1" t="s">
        <v>184</v>
      </c>
      <c r="AO192" s="5" t="s">
        <v>99</v>
      </c>
      <c r="AP192" s="1">
        <v>1</v>
      </c>
      <c r="AQ192" s="2">
        <v>300000</v>
      </c>
      <c r="AR192" s="1">
        <v>2</v>
      </c>
      <c r="AS192" s="1">
        <v>7</v>
      </c>
      <c r="AT192" s="1">
        <v>1</v>
      </c>
      <c r="AU192" s="1">
        <v>10</v>
      </c>
      <c r="AV192" s="5" t="s">
        <v>782</v>
      </c>
      <c r="AW192" s="1" t="s">
        <v>37</v>
      </c>
      <c r="AX192" s="1" t="s">
        <v>37</v>
      </c>
    </row>
    <row r="193" spans="36:50" x14ac:dyDescent="0.25">
      <c r="AJ193" s="5" t="s">
        <v>672</v>
      </c>
      <c r="AK193" s="5" t="s">
        <v>821</v>
      </c>
      <c r="AL193" s="107">
        <v>40000</v>
      </c>
      <c r="AM193" s="65">
        <v>3</v>
      </c>
      <c r="AN193" s="1" t="s">
        <v>184</v>
      </c>
      <c r="AO193" s="99" t="s">
        <v>867</v>
      </c>
      <c r="AP193" s="92">
        <v>1</v>
      </c>
      <c r="AQ193" s="100">
        <v>380000</v>
      </c>
      <c r="AR193" s="92">
        <v>5</v>
      </c>
      <c r="AS193" s="92">
        <v>6</v>
      </c>
      <c r="AT193" s="92">
        <v>2</v>
      </c>
      <c r="AU193" s="92">
        <v>10</v>
      </c>
      <c r="AV193" s="99" t="s">
        <v>864</v>
      </c>
      <c r="AW193" s="1" t="s">
        <v>37</v>
      </c>
      <c r="AX193" s="1" t="s">
        <v>37</v>
      </c>
    </row>
    <row r="194" spans="36:50" x14ac:dyDescent="0.25">
      <c r="AJ194" s="5" t="s">
        <v>673</v>
      </c>
      <c r="AK194" s="5" t="s">
        <v>647</v>
      </c>
      <c r="AL194" s="107"/>
      <c r="AN194" s="1" t="s">
        <v>184</v>
      </c>
      <c r="AO194" s="99" t="s">
        <v>877</v>
      </c>
      <c r="AP194" s="92">
        <v>16</v>
      </c>
      <c r="AQ194" s="100">
        <v>400000</v>
      </c>
      <c r="AR194" s="92">
        <v>6</v>
      </c>
      <c r="AS194" s="92">
        <v>7</v>
      </c>
      <c r="AT194" s="92">
        <v>2</v>
      </c>
      <c r="AU194" s="92">
        <v>10</v>
      </c>
      <c r="AV194" s="99" t="s">
        <v>878</v>
      </c>
      <c r="AW194" s="1" t="s">
        <v>37</v>
      </c>
      <c r="AX194" s="1" t="s">
        <v>37</v>
      </c>
    </row>
    <row r="195" spans="36:50" x14ac:dyDescent="0.25">
      <c r="AJ195" s="5" t="s">
        <v>363</v>
      </c>
      <c r="AK195" s="5" t="s">
        <v>647</v>
      </c>
      <c r="AL195" s="107"/>
      <c r="AN195" s="1" t="s">
        <v>184</v>
      </c>
      <c r="AO195" s="5" t="s">
        <v>35</v>
      </c>
      <c r="AP195" s="1">
        <v>1</v>
      </c>
      <c r="AQ195" s="2">
        <v>430000</v>
      </c>
      <c r="AR195" s="1">
        <v>6</v>
      </c>
      <c r="AS195" s="1">
        <v>6</v>
      </c>
      <c r="AT195" s="1">
        <v>3</v>
      </c>
      <c r="AU195" s="1">
        <v>10</v>
      </c>
      <c r="AV195" s="5" t="s">
        <v>151</v>
      </c>
      <c r="AW195" s="1" t="s">
        <v>37</v>
      </c>
      <c r="AX195" s="1" t="s">
        <v>37</v>
      </c>
    </row>
    <row r="196" spans="36:50" x14ac:dyDescent="0.25">
      <c r="AJ196" s="5" t="s">
        <v>368</v>
      </c>
      <c r="AK196" s="5" t="s">
        <v>647</v>
      </c>
      <c r="AL196" s="107"/>
      <c r="AN196" s="1" t="s">
        <v>664</v>
      </c>
      <c r="AO196" s="5"/>
      <c r="AP196" s="1"/>
      <c r="AQ196" s="2"/>
      <c r="AR196" s="1"/>
      <c r="AS196" s="1"/>
      <c r="AT196" s="1"/>
      <c r="AU196" s="1"/>
      <c r="AV196"/>
      <c r="AW196" s="1"/>
      <c r="AX196" s="1"/>
    </row>
    <row r="197" spans="36:50" x14ac:dyDescent="0.25">
      <c r="AJ197" s="5" t="s">
        <v>674</v>
      </c>
      <c r="AK197" s="5" t="s">
        <v>647</v>
      </c>
      <c r="AL197" s="107"/>
      <c r="AN197" s="1" t="s">
        <v>664</v>
      </c>
      <c r="AO197" s="5" t="s">
        <v>70</v>
      </c>
      <c r="AP197" s="1">
        <v>16</v>
      </c>
      <c r="AQ197" s="2">
        <v>70000</v>
      </c>
      <c r="AR197" s="1">
        <v>6</v>
      </c>
      <c r="AS197" s="1">
        <v>3</v>
      </c>
      <c r="AT197" s="1">
        <v>4</v>
      </c>
      <c r="AU197" s="1">
        <v>8</v>
      </c>
      <c r="AV197" t="s">
        <v>647</v>
      </c>
      <c r="AW197" s="1" t="s">
        <v>24</v>
      </c>
      <c r="AX197" s="1" t="s">
        <v>28</v>
      </c>
    </row>
    <row r="198" spans="36:50" x14ac:dyDescent="0.25">
      <c r="AJ198" s="5" t="s">
        <v>364</v>
      </c>
      <c r="AK198" s="5" t="s">
        <v>647</v>
      </c>
      <c r="AL198" s="107"/>
      <c r="AN198" s="1" t="s">
        <v>664</v>
      </c>
      <c r="AO198" s="5" t="s">
        <v>3</v>
      </c>
      <c r="AP198" s="1">
        <v>2</v>
      </c>
      <c r="AQ198" s="2">
        <v>90000</v>
      </c>
      <c r="AR198" s="1">
        <v>6</v>
      </c>
      <c r="AS198" s="1">
        <v>3</v>
      </c>
      <c r="AT198" s="1">
        <v>4</v>
      </c>
      <c r="AU198" s="1">
        <v>8</v>
      </c>
      <c r="AV198" t="s">
        <v>230</v>
      </c>
      <c r="AW198" s="1" t="s">
        <v>45</v>
      </c>
      <c r="AX198" s="1" t="s">
        <v>61</v>
      </c>
    </row>
    <row r="199" spans="36:50" x14ac:dyDescent="0.25">
      <c r="AJ199" s="5" t="s">
        <v>675</v>
      </c>
      <c r="AK199" s="5" t="s">
        <v>647</v>
      </c>
      <c r="AL199" s="107"/>
      <c r="AN199" s="1" t="s">
        <v>664</v>
      </c>
      <c r="AO199" s="5" t="s">
        <v>4</v>
      </c>
      <c r="AP199" s="1">
        <v>4</v>
      </c>
      <c r="AQ199" s="2">
        <v>90000</v>
      </c>
      <c r="AR199" s="1">
        <v>8</v>
      </c>
      <c r="AS199" s="1">
        <v>3</v>
      </c>
      <c r="AT199" s="1">
        <v>4</v>
      </c>
      <c r="AU199" s="1">
        <v>7</v>
      </c>
      <c r="AV199" t="s">
        <v>231</v>
      </c>
      <c r="AW199" s="1" t="s">
        <v>24</v>
      </c>
      <c r="AX199" s="1" t="s">
        <v>28</v>
      </c>
    </row>
    <row r="200" spans="36:50" x14ac:dyDescent="0.25">
      <c r="AJ200" s="5" t="s">
        <v>365</v>
      </c>
      <c r="AK200" s="5" t="s">
        <v>647</v>
      </c>
      <c r="AL200" s="107"/>
      <c r="AN200" s="1" t="s">
        <v>664</v>
      </c>
      <c r="AO200" s="5" t="s">
        <v>5</v>
      </c>
      <c r="AP200" s="1">
        <v>2</v>
      </c>
      <c r="AQ200" s="2">
        <v>100000</v>
      </c>
      <c r="AR200" s="1">
        <v>7</v>
      </c>
      <c r="AS200" s="1">
        <v>3</v>
      </c>
      <c r="AT200" s="1">
        <v>4</v>
      </c>
      <c r="AU200" s="1">
        <v>8</v>
      </c>
      <c r="AV200" t="s">
        <v>222</v>
      </c>
      <c r="AW200" s="1" t="s">
        <v>24</v>
      </c>
      <c r="AX200" s="1" t="s">
        <v>28</v>
      </c>
    </row>
    <row r="201" spans="36:50" x14ac:dyDescent="0.25">
      <c r="AJ201" s="5" t="s">
        <v>676</v>
      </c>
      <c r="AK201" s="5" t="s">
        <v>820</v>
      </c>
      <c r="AL201" s="107">
        <v>40000</v>
      </c>
      <c r="AM201" s="65">
        <v>1</v>
      </c>
      <c r="AN201" s="1" t="s">
        <v>664</v>
      </c>
      <c r="AO201" s="5" t="s">
        <v>46</v>
      </c>
      <c r="AP201" s="1">
        <v>11</v>
      </c>
      <c r="AQ201" s="2">
        <v>70000</v>
      </c>
      <c r="AR201" s="1">
        <v>6</v>
      </c>
      <c r="AS201" s="1">
        <v>3</v>
      </c>
      <c r="AT201" s="1">
        <v>4</v>
      </c>
      <c r="AU201" s="1">
        <v>8</v>
      </c>
      <c r="AV201" t="s">
        <v>65</v>
      </c>
      <c r="AW201" s="1" t="s">
        <v>24</v>
      </c>
      <c r="AX201" s="1" t="s">
        <v>28</v>
      </c>
    </row>
    <row r="202" spans="36:50" x14ac:dyDescent="0.25">
      <c r="AJ202" s="5" t="s">
        <v>366</v>
      </c>
      <c r="AK202" s="5" t="s">
        <v>821</v>
      </c>
      <c r="AL202" s="107">
        <v>40000</v>
      </c>
      <c r="AM202" s="65">
        <v>3</v>
      </c>
      <c r="AN202" s="1" t="s">
        <v>664</v>
      </c>
      <c r="AO202" s="5" t="s">
        <v>100</v>
      </c>
      <c r="AP202" s="1">
        <v>1</v>
      </c>
      <c r="AQ202" s="2">
        <v>150000</v>
      </c>
      <c r="AR202" s="1">
        <v>7</v>
      </c>
      <c r="AS202" s="1">
        <v>3</v>
      </c>
      <c r="AT202" s="1">
        <v>4</v>
      </c>
      <c r="AU202" s="1">
        <v>7</v>
      </c>
      <c r="AV202" s="5" t="s">
        <v>101</v>
      </c>
      <c r="AW202" s="1" t="s">
        <v>37</v>
      </c>
      <c r="AX202" s="1" t="s">
        <v>37</v>
      </c>
    </row>
    <row r="203" spans="36:50" x14ac:dyDescent="0.25">
      <c r="AJ203" s="5" t="s">
        <v>367</v>
      </c>
      <c r="AK203" s="5" t="s">
        <v>647</v>
      </c>
      <c r="AL203" s="107"/>
      <c r="AN203" s="1" t="s">
        <v>664</v>
      </c>
      <c r="AO203" s="5" t="s">
        <v>355</v>
      </c>
      <c r="AP203" s="1">
        <v>1</v>
      </c>
      <c r="AQ203" s="2">
        <v>160000</v>
      </c>
      <c r="AR203" s="1">
        <v>8</v>
      </c>
      <c r="AS203" s="1">
        <v>3</v>
      </c>
      <c r="AT203" s="1">
        <v>4</v>
      </c>
      <c r="AU203" s="1">
        <v>7</v>
      </c>
      <c r="AV203" s="5" t="s">
        <v>171</v>
      </c>
      <c r="AW203" s="1" t="s">
        <v>37</v>
      </c>
      <c r="AX203" s="1" t="s">
        <v>37</v>
      </c>
    </row>
    <row r="204" spans="36:50" x14ac:dyDescent="0.25">
      <c r="AJ204" s="5" t="s">
        <v>677</v>
      </c>
      <c r="AK204" s="5" t="s">
        <v>647</v>
      </c>
      <c r="AL204" s="107"/>
      <c r="AN204" s="1" t="s">
        <v>664</v>
      </c>
      <c r="AO204" s="99" t="s">
        <v>721</v>
      </c>
      <c r="AP204" s="92">
        <v>1</v>
      </c>
      <c r="AQ204" s="100">
        <v>160000</v>
      </c>
      <c r="AR204" s="92">
        <v>6</v>
      </c>
      <c r="AS204" s="92">
        <v>3</v>
      </c>
      <c r="AT204" s="92">
        <v>4</v>
      </c>
      <c r="AU204" s="92">
        <v>8</v>
      </c>
      <c r="AV204" s="65" t="s">
        <v>722</v>
      </c>
      <c r="AW204" s="1" t="s">
        <v>37</v>
      </c>
      <c r="AX204" s="1" t="s">
        <v>37</v>
      </c>
    </row>
    <row r="205" spans="36:50" x14ac:dyDescent="0.25">
      <c r="AJ205" s="5" t="s">
        <v>678</v>
      </c>
      <c r="AK205" s="5" t="s">
        <v>647</v>
      </c>
      <c r="AL205" s="107"/>
      <c r="AN205" s="1" t="s">
        <v>664</v>
      </c>
      <c r="AO205" s="5" t="s">
        <v>123</v>
      </c>
      <c r="AP205" s="1">
        <v>1</v>
      </c>
      <c r="AQ205" s="2">
        <v>180000</v>
      </c>
      <c r="AR205" s="1">
        <v>6</v>
      </c>
      <c r="AS205" s="1">
        <v>3</v>
      </c>
      <c r="AT205" s="1">
        <v>4</v>
      </c>
      <c r="AU205" s="1">
        <v>8</v>
      </c>
      <c r="AV205" s="5" t="s">
        <v>164</v>
      </c>
      <c r="AW205" s="1" t="s">
        <v>37</v>
      </c>
      <c r="AX205" s="1" t="s">
        <v>37</v>
      </c>
    </row>
    <row r="206" spans="36:50" x14ac:dyDescent="0.25">
      <c r="AJ206" s="5" t="s">
        <v>679</v>
      </c>
      <c r="AK206" s="5" t="s">
        <v>647</v>
      </c>
      <c r="AL206" s="107"/>
      <c r="AN206" s="1" t="s">
        <v>664</v>
      </c>
      <c r="AO206" s="5" t="s">
        <v>102</v>
      </c>
      <c r="AP206" s="1">
        <v>1</v>
      </c>
      <c r="AQ206" s="2">
        <v>200000</v>
      </c>
      <c r="AR206" s="1">
        <v>8</v>
      </c>
      <c r="AS206" s="1">
        <v>3</v>
      </c>
      <c r="AT206" s="1">
        <v>4</v>
      </c>
      <c r="AU206" s="1">
        <v>7</v>
      </c>
      <c r="AV206" s="5" t="s">
        <v>103</v>
      </c>
      <c r="AW206" s="1" t="s">
        <v>37</v>
      </c>
      <c r="AX206" s="1" t="s">
        <v>37</v>
      </c>
    </row>
    <row r="207" spans="36:50" x14ac:dyDescent="0.25">
      <c r="AJ207" s="5" t="s">
        <v>680</v>
      </c>
      <c r="AK207" s="5" t="s">
        <v>647</v>
      </c>
      <c r="AL207" s="107"/>
      <c r="AN207" s="1" t="s">
        <v>664</v>
      </c>
      <c r="AO207" s="5" t="s">
        <v>117</v>
      </c>
      <c r="AP207" s="1">
        <v>1</v>
      </c>
      <c r="AQ207" s="2">
        <v>230000</v>
      </c>
      <c r="AR207" s="1">
        <v>7</v>
      </c>
      <c r="AS207" s="1">
        <v>4</v>
      </c>
      <c r="AT207" s="1">
        <v>4</v>
      </c>
      <c r="AU207" s="1">
        <v>8</v>
      </c>
      <c r="AV207" s="5" t="s">
        <v>153</v>
      </c>
      <c r="AW207" s="1" t="s">
        <v>37</v>
      </c>
      <c r="AX207" s="1" t="s">
        <v>37</v>
      </c>
    </row>
    <row r="208" spans="36:50" x14ac:dyDescent="0.25">
      <c r="AJ208" s="5" t="s">
        <v>369</v>
      </c>
      <c r="AK208" s="5" t="s">
        <v>647</v>
      </c>
      <c r="AL208" s="107"/>
      <c r="AN208" s="1" t="s">
        <v>664</v>
      </c>
      <c r="AO208" s="5" t="s">
        <v>33</v>
      </c>
      <c r="AP208" s="1">
        <v>1</v>
      </c>
      <c r="AQ208" s="2">
        <v>270000</v>
      </c>
      <c r="AR208" s="1">
        <v>6</v>
      </c>
      <c r="AS208" s="1">
        <v>4</v>
      </c>
      <c r="AT208" s="1">
        <v>3</v>
      </c>
      <c r="AU208" s="1">
        <v>8</v>
      </c>
      <c r="AV208" s="5" t="s">
        <v>168</v>
      </c>
      <c r="AW208" s="1" t="s">
        <v>37</v>
      </c>
      <c r="AX208" s="1" t="s">
        <v>37</v>
      </c>
    </row>
    <row r="209" spans="36:50" x14ac:dyDescent="0.25">
      <c r="AN209" s="1" t="s">
        <v>664</v>
      </c>
      <c r="AO209" s="99" t="s">
        <v>867</v>
      </c>
      <c r="AP209" s="92">
        <v>1</v>
      </c>
      <c r="AQ209" s="100">
        <v>380000</v>
      </c>
      <c r="AR209" s="92">
        <v>5</v>
      </c>
      <c r="AS209" s="92">
        <v>6</v>
      </c>
      <c r="AT209" s="92">
        <v>2</v>
      </c>
      <c r="AU209" s="92">
        <v>10</v>
      </c>
      <c r="AV209" s="99" t="s">
        <v>864</v>
      </c>
      <c r="AW209" s="1" t="s">
        <v>37</v>
      </c>
      <c r="AX209" s="1" t="s">
        <v>37</v>
      </c>
    </row>
    <row r="210" spans="36:50" x14ac:dyDescent="0.25">
      <c r="AJ210" s="108" t="s">
        <v>7</v>
      </c>
      <c r="AK210" s="108" t="s">
        <v>873</v>
      </c>
      <c r="AL210" s="108" t="s">
        <v>10</v>
      </c>
      <c r="AN210" s="1" t="s">
        <v>664</v>
      </c>
      <c r="AO210" s="5" t="s">
        <v>128</v>
      </c>
      <c r="AP210" s="1">
        <v>1</v>
      </c>
      <c r="AQ210" s="2">
        <v>390000</v>
      </c>
      <c r="AR210" s="1">
        <v>7</v>
      </c>
      <c r="AS210" s="1">
        <v>3</v>
      </c>
      <c r="AT210" s="1">
        <v>4</v>
      </c>
      <c r="AU210" s="1">
        <v>8</v>
      </c>
      <c r="AV210" s="5" t="s">
        <v>173</v>
      </c>
      <c r="AW210" s="1" t="s">
        <v>37</v>
      </c>
      <c r="AX210" s="1" t="s">
        <v>37</v>
      </c>
    </row>
    <row r="211" spans="36:50" x14ac:dyDescent="0.25">
      <c r="AJ211"/>
      <c r="AK211" s="1"/>
      <c r="AN211" s="1" t="s">
        <v>664</v>
      </c>
      <c r="AO211" s="5" t="s">
        <v>129</v>
      </c>
      <c r="AP211" s="1">
        <v>1</v>
      </c>
      <c r="AQ211" s="1" t="s">
        <v>37</v>
      </c>
      <c r="AR211" s="1">
        <v>7</v>
      </c>
      <c r="AS211" s="1">
        <v>3</v>
      </c>
      <c r="AT211" s="1">
        <v>5</v>
      </c>
      <c r="AU211" s="1">
        <v>7</v>
      </c>
      <c r="AV211" s="5" t="s">
        <v>174</v>
      </c>
      <c r="AW211" s="1" t="s">
        <v>37</v>
      </c>
      <c r="AX211" s="1" t="s">
        <v>37</v>
      </c>
    </row>
    <row r="212" spans="36:50" x14ac:dyDescent="0.25">
      <c r="AJ212" t="s">
        <v>6</v>
      </c>
      <c r="AK212" s="5" t="s">
        <v>647</v>
      </c>
      <c r="AL212" s="107"/>
      <c r="AN212" s="1" t="s">
        <v>664</v>
      </c>
      <c r="AO212" s="99" t="s">
        <v>877</v>
      </c>
      <c r="AP212" s="92">
        <v>16</v>
      </c>
      <c r="AQ212" s="100">
        <v>400000</v>
      </c>
      <c r="AR212" s="92">
        <v>6</v>
      </c>
      <c r="AS212" s="92">
        <v>7</v>
      </c>
      <c r="AT212" s="92">
        <v>2</v>
      </c>
      <c r="AU212" s="92">
        <v>10</v>
      </c>
      <c r="AV212" s="99" t="s">
        <v>878</v>
      </c>
      <c r="AW212" s="1" t="s">
        <v>37</v>
      </c>
      <c r="AX212" s="1" t="s">
        <v>37</v>
      </c>
    </row>
    <row r="213" spans="36:50" x14ac:dyDescent="0.25">
      <c r="AJ213" t="s">
        <v>274</v>
      </c>
      <c r="AK213" s="5" t="s">
        <v>647</v>
      </c>
      <c r="AL213" s="107"/>
      <c r="AN213" s="1" t="s">
        <v>664</v>
      </c>
      <c r="AO213" s="5" t="s">
        <v>35</v>
      </c>
      <c r="AP213" s="1">
        <v>1</v>
      </c>
      <c r="AQ213" s="2">
        <v>430000</v>
      </c>
      <c r="AR213" s="1">
        <v>6</v>
      </c>
      <c r="AS213" s="1">
        <v>6</v>
      </c>
      <c r="AT213" s="1">
        <v>3</v>
      </c>
      <c r="AU213" s="1">
        <v>10</v>
      </c>
      <c r="AV213" s="5" t="s">
        <v>151</v>
      </c>
      <c r="AW213" s="1" t="s">
        <v>37</v>
      </c>
      <c r="AX213" s="1" t="s">
        <v>37</v>
      </c>
    </row>
    <row r="214" spans="36:50" x14ac:dyDescent="0.25">
      <c r="AJ214" s="5" t="s">
        <v>884</v>
      </c>
      <c r="AK214" s="5" t="s">
        <v>647</v>
      </c>
      <c r="AL214" s="107"/>
      <c r="AN214" s="1" t="s">
        <v>256</v>
      </c>
      <c r="AO214" s="5"/>
      <c r="AP214" s="1"/>
      <c r="AQ214" s="2"/>
      <c r="AR214" s="1"/>
      <c r="AS214" s="1"/>
      <c r="AT214" s="1"/>
      <c r="AU214" s="1"/>
      <c r="AV214"/>
      <c r="AW214" s="1"/>
      <c r="AX214" s="1"/>
    </row>
    <row r="215" spans="36:50" x14ac:dyDescent="0.25">
      <c r="AJ215" t="s">
        <v>661</v>
      </c>
      <c r="AK215" s="5" t="s">
        <v>647</v>
      </c>
      <c r="AL215" s="107"/>
      <c r="AN215" s="1" t="s">
        <v>256</v>
      </c>
      <c r="AO215" s="5" t="s">
        <v>70</v>
      </c>
      <c r="AP215" s="1">
        <v>16</v>
      </c>
      <c r="AQ215" s="2">
        <v>50000</v>
      </c>
      <c r="AR215" s="1">
        <v>6</v>
      </c>
      <c r="AS215" s="1">
        <v>3</v>
      </c>
      <c r="AT215" s="1">
        <v>3</v>
      </c>
      <c r="AU215" s="1">
        <v>8</v>
      </c>
      <c r="AV215" t="s">
        <v>647</v>
      </c>
      <c r="AW215" s="1" t="s">
        <v>22</v>
      </c>
      <c r="AX215" s="1" t="s">
        <v>26</v>
      </c>
    </row>
    <row r="216" spans="36:50" x14ac:dyDescent="0.25">
      <c r="AJ216" t="s">
        <v>885</v>
      </c>
      <c r="AK216" s="5" t="s">
        <v>647</v>
      </c>
      <c r="AL216" s="107"/>
      <c r="AN216" s="1" t="s">
        <v>256</v>
      </c>
      <c r="AO216" s="5" t="s">
        <v>4</v>
      </c>
      <c r="AP216" s="1">
        <v>4</v>
      </c>
      <c r="AQ216" s="2">
        <v>60000</v>
      </c>
      <c r="AR216" s="1">
        <v>8</v>
      </c>
      <c r="AS216" s="1">
        <v>2</v>
      </c>
      <c r="AT216" s="1">
        <v>3</v>
      </c>
      <c r="AU216" s="1">
        <v>7</v>
      </c>
      <c r="AV216" t="s">
        <v>303</v>
      </c>
      <c r="AW216" s="1" t="s">
        <v>24</v>
      </c>
      <c r="AX216" s="1" t="s">
        <v>28</v>
      </c>
    </row>
    <row r="217" spans="36:50" x14ac:dyDescent="0.25">
      <c r="AJ217" t="s">
        <v>662</v>
      </c>
      <c r="AK217" s="5" t="s">
        <v>647</v>
      </c>
      <c r="AL217" s="107"/>
      <c r="AN217" s="1" t="s">
        <v>256</v>
      </c>
      <c r="AO217" s="5" t="s">
        <v>3</v>
      </c>
      <c r="AP217" s="1">
        <v>2</v>
      </c>
      <c r="AQ217" s="2">
        <v>70000</v>
      </c>
      <c r="AR217" s="1">
        <v>6</v>
      </c>
      <c r="AS217" s="1">
        <v>3</v>
      </c>
      <c r="AT217" s="1">
        <v>3</v>
      </c>
      <c r="AU217" s="1">
        <v>8</v>
      </c>
      <c r="AV217" t="s">
        <v>304</v>
      </c>
      <c r="AW217" s="1" t="s">
        <v>23</v>
      </c>
      <c r="AX217" s="1" t="s">
        <v>26</v>
      </c>
    </row>
    <row r="218" spans="36:50" x14ac:dyDescent="0.25">
      <c r="AJ218" t="s">
        <v>663</v>
      </c>
      <c r="AK218" s="5" t="s">
        <v>647</v>
      </c>
      <c r="AL218" s="107"/>
      <c r="AN218" s="1" t="s">
        <v>256</v>
      </c>
      <c r="AO218" s="5" t="s">
        <v>5</v>
      </c>
      <c r="AP218" s="1">
        <v>4</v>
      </c>
      <c r="AQ218" s="2">
        <v>90000</v>
      </c>
      <c r="AR218" s="1">
        <v>7</v>
      </c>
      <c r="AS218" s="1">
        <v>3</v>
      </c>
      <c r="AT218" s="1">
        <v>3</v>
      </c>
      <c r="AU218" s="1">
        <v>8</v>
      </c>
      <c r="AV218" t="s">
        <v>222</v>
      </c>
      <c r="AW218" s="1" t="s">
        <v>25</v>
      </c>
      <c r="AX218" s="1" t="s">
        <v>29</v>
      </c>
    </row>
    <row r="219" spans="36:50" x14ac:dyDescent="0.25">
      <c r="AJ219" t="s">
        <v>254</v>
      </c>
      <c r="AK219" s="5" t="s">
        <v>647</v>
      </c>
      <c r="AL219" s="107"/>
      <c r="AN219" s="1" t="s">
        <v>256</v>
      </c>
      <c r="AO219" s="5" t="s">
        <v>185</v>
      </c>
      <c r="AP219" s="1">
        <v>1</v>
      </c>
      <c r="AQ219" s="2">
        <v>140000</v>
      </c>
      <c r="AR219" s="1">
        <v>5</v>
      </c>
      <c r="AS219" s="1">
        <v>5</v>
      </c>
      <c r="AT219" s="1">
        <v>2</v>
      </c>
      <c r="AU219" s="1">
        <v>9</v>
      </c>
      <c r="AV219" t="s">
        <v>311</v>
      </c>
      <c r="AW219" s="1" t="s">
        <v>61</v>
      </c>
      <c r="AX219" s="1" t="s">
        <v>45</v>
      </c>
    </row>
    <row r="220" spans="36:50" x14ac:dyDescent="0.25">
      <c r="AJ220" t="s">
        <v>886</v>
      </c>
      <c r="AK220" s="5" t="s">
        <v>647</v>
      </c>
      <c r="AL220" s="107"/>
      <c r="AN220" s="1" t="s">
        <v>256</v>
      </c>
      <c r="AO220" s="5" t="s">
        <v>46</v>
      </c>
      <c r="AP220" s="1">
        <v>11</v>
      </c>
      <c r="AQ220" s="2">
        <v>50000</v>
      </c>
      <c r="AR220" s="1">
        <v>6</v>
      </c>
      <c r="AS220" s="1">
        <v>3</v>
      </c>
      <c r="AT220" s="1">
        <v>3</v>
      </c>
      <c r="AU220" s="1">
        <v>8</v>
      </c>
      <c r="AV220" t="s">
        <v>65</v>
      </c>
      <c r="AW220" s="1" t="s">
        <v>22</v>
      </c>
      <c r="AX220" s="1" t="s">
        <v>26</v>
      </c>
    </row>
    <row r="221" spans="36:50" x14ac:dyDescent="0.25">
      <c r="AJ221" t="s">
        <v>178</v>
      </c>
      <c r="AK221" s="5" t="s">
        <v>647</v>
      </c>
      <c r="AL221" s="107"/>
      <c r="AN221" s="1" t="s">
        <v>256</v>
      </c>
      <c r="AO221" s="5" t="s">
        <v>30</v>
      </c>
      <c r="AP221" s="1">
        <v>1</v>
      </c>
      <c r="AQ221" s="2">
        <v>110000</v>
      </c>
      <c r="AR221" s="1">
        <v>6</v>
      </c>
      <c r="AS221" s="1">
        <v>3</v>
      </c>
      <c r="AT221" s="1">
        <v>3</v>
      </c>
      <c r="AU221" s="1">
        <v>8</v>
      </c>
      <c r="AV221" s="5" t="s">
        <v>138</v>
      </c>
      <c r="AW221" s="1" t="s">
        <v>37</v>
      </c>
      <c r="AX221" s="1" t="s">
        <v>37</v>
      </c>
    </row>
    <row r="222" spans="36:50" x14ac:dyDescent="0.25">
      <c r="AJ222" t="s">
        <v>184</v>
      </c>
      <c r="AK222" s="5"/>
      <c r="AL222" s="107"/>
      <c r="AN222" s="1" t="s">
        <v>256</v>
      </c>
      <c r="AO222" s="5" t="s">
        <v>286</v>
      </c>
      <c r="AP222" s="1">
        <v>1</v>
      </c>
      <c r="AQ222" s="2">
        <v>140000</v>
      </c>
      <c r="AR222" s="1">
        <v>5</v>
      </c>
      <c r="AS222" s="1">
        <v>3</v>
      </c>
      <c r="AT222" s="1">
        <v>3</v>
      </c>
      <c r="AU222" s="1">
        <v>6</v>
      </c>
      <c r="AV222" s="5" t="s">
        <v>154</v>
      </c>
      <c r="AW222" s="1" t="s">
        <v>37</v>
      </c>
      <c r="AX222" s="1" t="s">
        <v>37</v>
      </c>
    </row>
    <row r="223" spans="36:50" x14ac:dyDescent="0.25">
      <c r="AJ223" t="s">
        <v>664</v>
      </c>
      <c r="AK223" s="5" t="s">
        <v>647</v>
      </c>
      <c r="AL223" s="107"/>
      <c r="AN223" s="1" t="s">
        <v>256</v>
      </c>
      <c r="AO223" s="5" t="s">
        <v>125</v>
      </c>
      <c r="AP223" s="1">
        <v>1</v>
      </c>
      <c r="AQ223" s="2">
        <v>220000</v>
      </c>
      <c r="AR223" s="1">
        <v>6</v>
      </c>
      <c r="AS223" s="1">
        <v>4</v>
      </c>
      <c r="AT223" s="1">
        <v>3</v>
      </c>
      <c r="AU223" s="1">
        <v>8</v>
      </c>
      <c r="AV223" s="5" t="s">
        <v>169</v>
      </c>
      <c r="AW223" s="1" t="s">
        <v>37</v>
      </c>
      <c r="AX223" s="1" t="s">
        <v>37</v>
      </c>
    </row>
    <row r="224" spans="36:50" x14ac:dyDescent="0.25">
      <c r="AJ224" t="s">
        <v>256</v>
      </c>
      <c r="AK224" s="5" t="s">
        <v>647</v>
      </c>
      <c r="AL224" s="107"/>
      <c r="AN224" s="1" t="s">
        <v>256</v>
      </c>
      <c r="AO224" s="5" t="s">
        <v>116</v>
      </c>
      <c r="AP224" s="1">
        <v>1</v>
      </c>
      <c r="AQ224" s="2">
        <v>260000</v>
      </c>
      <c r="AR224" s="1">
        <v>4</v>
      </c>
      <c r="AS224" s="1">
        <v>5</v>
      </c>
      <c r="AT224" s="1">
        <v>2</v>
      </c>
      <c r="AU224" s="1">
        <v>9</v>
      </c>
      <c r="AV224" s="5" t="s">
        <v>150</v>
      </c>
      <c r="AW224" s="1" t="s">
        <v>37</v>
      </c>
      <c r="AX224" s="1" t="s">
        <v>37</v>
      </c>
    </row>
    <row r="225" spans="36:50" x14ac:dyDescent="0.25">
      <c r="AJ225" s="5" t="s">
        <v>887</v>
      </c>
      <c r="AK225" s="5" t="s">
        <v>647</v>
      </c>
      <c r="AL225" s="107"/>
      <c r="AN225" s="92" t="s">
        <v>256</v>
      </c>
      <c r="AO225" s="99" t="s">
        <v>693</v>
      </c>
      <c r="AP225" s="92">
        <v>1</v>
      </c>
      <c r="AQ225" s="100">
        <v>270000</v>
      </c>
      <c r="AR225" s="92">
        <v>4</v>
      </c>
      <c r="AS225" s="92">
        <v>5</v>
      </c>
      <c r="AT225" s="92">
        <v>1</v>
      </c>
      <c r="AU225" s="92">
        <v>9</v>
      </c>
      <c r="AV225" s="99" t="s">
        <v>694</v>
      </c>
      <c r="AW225" s="1" t="s">
        <v>37</v>
      </c>
      <c r="AX225" s="1" t="s">
        <v>37</v>
      </c>
    </row>
    <row r="226" spans="36:50" x14ac:dyDescent="0.25">
      <c r="AJ226" t="s">
        <v>258</v>
      </c>
      <c r="AK226" s="5" t="s">
        <v>647</v>
      </c>
      <c r="AL226" s="107"/>
      <c r="AN226" s="1" t="s">
        <v>256</v>
      </c>
      <c r="AO226" s="5" t="s">
        <v>33</v>
      </c>
      <c r="AP226" s="1">
        <v>1</v>
      </c>
      <c r="AQ226" s="2">
        <v>270000</v>
      </c>
      <c r="AR226" s="1">
        <v>6</v>
      </c>
      <c r="AS226" s="1">
        <v>4</v>
      </c>
      <c r="AT226" s="1">
        <v>3</v>
      </c>
      <c r="AU226" s="1">
        <v>8</v>
      </c>
      <c r="AV226" s="5" t="s">
        <v>168</v>
      </c>
      <c r="AW226" s="1" t="s">
        <v>37</v>
      </c>
      <c r="AX226" s="1" t="s">
        <v>37</v>
      </c>
    </row>
    <row r="227" spans="36:50" x14ac:dyDescent="0.25">
      <c r="AJ227" t="s">
        <v>260</v>
      </c>
      <c r="AK227" s="5" t="s">
        <v>647</v>
      </c>
      <c r="AL227" s="107"/>
      <c r="AN227" s="1" t="s">
        <v>256</v>
      </c>
      <c r="AO227" s="5" t="s">
        <v>107</v>
      </c>
      <c r="AP227" s="1">
        <v>1</v>
      </c>
      <c r="AQ227" s="2">
        <v>320000</v>
      </c>
      <c r="AR227" s="1">
        <v>7</v>
      </c>
      <c r="AS227" s="1">
        <v>4</v>
      </c>
      <c r="AT227" s="1">
        <v>4</v>
      </c>
      <c r="AU227" s="1">
        <v>8</v>
      </c>
      <c r="AV227" s="5" t="s">
        <v>531</v>
      </c>
      <c r="AW227" s="1" t="s">
        <v>37</v>
      </c>
      <c r="AX227" s="1" t="s">
        <v>37</v>
      </c>
    </row>
    <row r="228" spans="36:50" x14ac:dyDescent="0.25">
      <c r="AJ228" t="s">
        <v>263</v>
      </c>
      <c r="AK228" s="5" t="s">
        <v>647</v>
      </c>
      <c r="AL228" s="107"/>
      <c r="AN228" s="1" t="s">
        <v>256</v>
      </c>
      <c r="AO228" s="99" t="s">
        <v>867</v>
      </c>
      <c r="AP228" s="92">
        <v>1</v>
      </c>
      <c r="AQ228" s="100">
        <v>380000</v>
      </c>
      <c r="AR228" s="92">
        <v>5</v>
      </c>
      <c r="AS228" s="92">
        <v>6</v>
      </c>
      <c r="AT228" s="92">
        <v>2</v>
      </c>
      <c r="AU228" s="92">
        <v>10</v>
      </c>
      <c r="AV228" s="99" t="s">
        <v>864</v>
      </c>
      <c r="AW228" s="1" t="s">
        <v>37</v>
      </c>
      <c r="AX228" s="1" t="s">
        <v>37</v>
      </c>
    </row>
    <row r="229" spans="36:50" x14ac:dyDescent="0.25">
      <c r="AJ229" t="s">
        <v>265</v>
      </c>
      <c r="AK229" s="5"/>
      <c r="AL229" s="107"/>
      <c r="AN229" s="1" t="s">
        <v>256</v>
      </c>
      <c r="AO229" s="99" t="s">
        <v>877</v>
      </c>
      <c r="AP229" s="92">
        <v>16</v>
      </c>
      <c r="AQ229" s="100">
        <v>400000</v>
      </c>
      <c r="AR229" s="92">
        <v>6</v>
      </c>
      <c r="AS229" s="92">
        <v>7</v>
      </c>
      <c r="AT229" s="92">
        <v>2</v>
      </c>
      <c r="AU229" s="92">
        <v>10</v>
      </c>
      <c r="AV229" s="99" t="s">
        <v>878</v>
      </c>
      <c r="AW229" s="1" t="s">
        <v>37</v>
      </c>
      <c r="AX229" s="1" t="s">
        <v>37</v>
      </c>
    </row>
    <row r="230" spans="36:50" x14ac:dyDescent="0.25">
      <c r="AJ230" t="s">
        <v>185</v>
      </c>
      <c r="AK230" s="5" t="s">
        <v>874</v>
      </c>
      <c r="AL230" s="107">
        <v>100000</v>
      </c>
      <c r="AM230" s="65">
        <v>1</v>
      </c>
      <c r="AN230" s="1" t="s">
        <v>256</v>
      </c>
      <c r="AO230" s="5" t="s">
        <v>35</v>
      </c>
      <c r="AP230" s="1">
        <v>1</v>
      </c>
      <c r="AQ230" s="2">
        <v>430000</v>
      </c>
      <c r="AR230" s="1">
        <v>6</v>
      </c>
      <c r="AS230" s="1">
        <v>6</v>
      </c>
      <c r="AT230" s="1">
        <v>3</v>
      </c>
      <c r="AU230" s="1">
        <v>10</v>
      </c>
      <c r="AV230" s="5" t="s">
        <v>151</v>
      </c>
      <c r="AW230" s="1" t="s">
        <v>37</v>
      </c>
      <c r="AX230" s="1" t="s">
        <v>37</v>
      </c>
    </row>
    <row r="231" spans="36:50" x14ac:dyDescent="0.25">
      <c r="AJ231" t="s">
        <v>266</v>
      </c>
      <c r="AK231" s="5" t="s">
        <v>647</v>
      </c>
      <c r="AL231" s="107"/>
      <c r="AN231" s="1" t="s">
        <v>887</v>
      </c>
      <c r="AO231" s="5"/>
      <c r="AP231" s="1"/>
      <c r="AQ231" s="2"/>
      <c r="AR231" s="1"/>
      <c r="AS231" s="1"/>
      <c r="AT231" s="1"/>
      <c r="AU231" s="1"/>
      <c r="AV231"/>
      <c r="AW231" s="1"/>
      <c r="AX231" s="1"/>
    </row>
    <row r="232" spans="36:50" x14ac:dyDescent="0.25">
      <c r="AJ232" t="s">
        <v>343</v>
      </c>
      <c r="AK232" s="5" t="s">
        <v>647</v>
      </c>
      <c r="AL232" s="107"/>
      <c r="AN232" s="1" t="s">
        <v>887</v>
      </c>
      <c r="AO232" s="5" t="s">
        <v>257</v>
      </c>
      <c r="AP232" s="1">
        <v>16</v>
      </c>
      <c r="AQ232" s="2">
        <v>40000</v>
      </c>
      <c r="AR232" s="1">
        <v>5</v>
      </c>
      <c r="AS232" s="1">
        <v>3</v>
      </c>
      <c r="AT232" s="1">
        <v>2</v>
      </c>
      <c r="AU232" s="1">
        <v>7</v>
      </c>
      <c r="AV232" t="s">
        <v>232</v>
      </c>
      <c r="AW232" s="1" t="s">
        <v>22</v>
      </c>
      <c r="AX232" s="1" t="s">
        <v>26</v>
      </c>
    </row>
    <row r="233" spans="36:50" x14ac:dyDescent="0.25">
      <c r="AJ233" t="s">
        <v>272</v>
      </c>
      <c r="AK233" s="5" t="s">
        <v>647</v>
      </c>
      <c r="AL233" s="107"/>
      <c r="AN233" s="1" t="s">
        <v>887</v>
      </c>
      <c r="AO233" s="5" t="s">
        <v>186</v>
      </c>
      <c r="AP233" s="1">
        <v>2</v>
      </c>
      <c r="AQ233" s="2">
        <v>70000</v>
      </c>
      <c r="AR233" s="1">
        <v>6</v>
      </c>
      <c r="AS233" s="1">
        <v>3</v>
      </c>
      <c r="AT233" s="1">
        <v>2</v>
      </c>
      <c r="AU233" s="1">
        <v>7</v>
      </c>
      <c r="AV233" t="s">
        <v>312</v>
      </c>
      <c r="AW233" s="1" t="s">
        <v>23</v>
      </c>
      <c r="AX233" s="1" t="s">
        <v>26</v>
      </c>
    </row>
    <row r="234" spans="36:50" x14ac:dyDescent="0.25">
      <c r="AJ234" t="s">
        <v>267</v>
      </c>
      <c r="AK234" s="5" t="s">
        <v>647</v>
      </c>
      <c r="AL234" s="107"/>
      <c r="AN234" s="1" t="s">
        <v>887</v>
      </c>
      <c r="AO234" s="5" t="s">
        <v>187</v>
      </c>
      <c r="AP234" s="1">
        <v>2</v>
      </c>
      <c r="AQ234" s="2">
        <v>90000</v>
      </c>
      <c r="AR234" s="1">
        <v>6</v>
      </c>
      <c r="AS234" s="1">
        <v>3</v>
      </c>
      <c r="AT234" s="1">
        <v>2</v>
      </c>
      <c r="AU234" s="1">
        <v>8</v>
      </c>
      <c r="AV234" t="s">
        <v>313</v>
      </c>
      <c r="AW234" s="1" t="s">
        <v>25</v>
      </c>
      <c r="AX234" s="1" t="s">
        <v>29</v>
      </c>
    </row>
    <row r="235" spans="36:50" x14ac:dyDescent="0.25">
      <c r="AJ235" t="s">
        <v>268</v>
      </c>
      <c r="AK235" s="5" t="s">
        <v>647</v>
      </c>
      <c r="AL235" s="107"/>
      <c r="AN235" s="1" t="s">
        <v>887</v>
      </c>
      <c r="AO235" s="5" t="s">
        <v>188</v>
      </c>
      <c r="AP235" s="1">
        <v>4</v>
      </c>
      <c r="AQ235" s="2">
        <v>100000</v>
      </c>
      <c r="AR235" s="1">
        <v>4</v>
      </c>
      <c r="AS235" s="1">
        <v>5</v>
      </c>
      <c r="AT235" s="1">
        <v>1</v>
      </c>
      <c r="AU235" s="1">
        <v>9</v>
      </c>
      <c r="AV235" t="s">
        <v>314</v>
      </c>
      <c r="AW235" s="1" t="s">
        <v>61</v>
      </c>
      <c r="AX235" s="1" t="s">
        <v>45</v>
      </c>
    </row>
    <row r="236" spans="36:50" x14ac:dyDescent="0.25">
      <c r="AJ236" t="s">
        <v>273</v>
      </c>
      <c r="AK236" s="5" t="s">
        <v>647</v>
      </c>
      <c r="AL236" s="107"/>
      <c r="AN236" s="1" t="s">
        <v>887</v>
      </c>
      <c r="AO236" s="5" t="s">
        <v>46</v>
      </c>
      <c r="AP236" s="1">
        <v>11</v>
      </c>
      <c r="AQ236" s="2">
        <v>40000</v>
      </c>
      <c r="AR236" s="1">
        <v>5</v>
      </c>
      <c r="AS236" s="1">
        <v>3</v>
      </c>
      <c r="AT236" s="1">
        <v>2</v>
      </c>
      <c r="AU236" s="1">
        <v>7</v>
      </c>
      <c r="AV236" t="s">
        <v>233</v>
      </c>
      <c r="AW236" s="1" t="s">
        <v>22</v>
      </c>
      <c r="AX236" s="1" t="s">
        <v>26</v>
      </c>
    </row>
    <row r="237" spans="36:50" x14ac:dyDescent="0.25">
      <c r="AJ237" t="s">
        <v>210</v>
      </c>
      <c r="AK237" s="5" t="s">
        <v>647</v>
      </c>
      <c r="AL237" s="107"/>
      <c r="AN237" s="1" t="s">
        <v>887</v>
      </c>
      <c r="AO237" s="5" t="s">
        <v>121</v>
      </c>
      <c r="AP237" s="1">
        <v>1</v>
      </c>
      <c r="AQ237" s="2">
        <v>80000</v>
      </c>
      <c r="AR237" s="1">
        <v>6</v>
      </c>
      <c r="AS237" s="1">
        <v>3</v>
      </c>
      <c r="AT237" s="1">
        <v>2</v>
      </c>
      <c r="AU237" s="1">
        <v>7</v>
      </c>
      <c r="AV237" s="5" t="s">
        <v>161</v>
      </c>
      <c r="AW237" s="1" t="s">
        <v>37</v>
      </c>
      <c r="AX237" s="1" t="s">
        <v>37</v>
      </c>
    </row>
    <row r="238" spans="36:50" x14ac:dyDescent="0.25">
      <c r="AJ238" t="s">
        <v>665</v>
      </c>
      <c r="AK238" s="5" t="s">
        <v>647</v>
      </c>
      <c r="AL238" s="107"/>
      <c r="AN238" s="1" t="s">
        <v>887</v>
      </c>
      <c r="AO238" s="5" t="s">
        <v>289</v>
      </c>
      <c r="AP238" s="1">
        <v>1</v>
      </c>
      <c r="AQ238" s="2">
        <v>120000</v>
      </c>
      <c r="AR238" s="1">
        <v>6</v>
      </c>
      <c r="AS238" s="1">
        <v>3</v>
      </c>
      <c r="AT238" s="1">
        <v>2</v>
      </c>
      <c r="AU238" s="1">
        <v>7</v>
      </c>
      <c r="AV238" s="5" t="s">
        <v>135</v>
      </c>
      <c r="AW238" s="1" t="s">
        <v>37</v>
      </c>
      <c r="AX238" s="1" t="s">
        <v>37</v>
      </c>
    </row>
    <row r="239" spans="36:50" x14ac:dyDescent="0.25">
      <c r="AJ239"/>
      <c r="AK239" s="5" t="s">
        <v>647</v>
      </c>
      <c r="AL239" s="107"/>
      <c r="AN239" s="1" t="s">
        <v>887</v>
      </c>
      <c r="AO239" s="5" t="s">
        <v>752</v>
      </c>
      <c r="AP239" s="1">
        <v>1</v>
      </c>
      <c r="AQ239" s="2">
        <v>130000</v>
      </c>
      <c r="AR239" s="1">
        <v>5</v>
      </c>
      <c r="AS239" s="1">
        <v>3</v>
      </c>
      <c r="AT239" s="1">
        <v>2</v>
      </c>
      <c r="AU239" s="1">
        <v>8</v>
      </c>
      <c r="AV239" s="5" t="s">
        <v>753</v>
      </c>
      <c r="AW239" s="1" t="s">
        <v>37</v>
      </c>
      <c r="AX239" s="1" t="s">
        <v>37</v>
      </c>
    </row>
    <row r="240" spans="36:50" x14ac:dyDescent="0.25">
      <c r="AJ240" t="s">
        <v>666</v>
      </c>
      <c r="AK240" s="5" t="s">
        <v>647</v>
      </c>
      <c r="AL240" s="107"/>
      <c r="AN240" s="1" t="s">
        <v>887</v>
      </c>
      <c r="AO240" s="5" t="s">
        <v>112</v>
      </c>
      <c r="AP240" s="1">
        <v>1</v>
      </c>
      <c r="AQ240" s="2">
        <v>130000</v>
      </c>
      <c r="AR240" s="1">
        <v>7</v>
      </c>
      <c r="AS240" s="1">
        <v>2</v>
      </c>
      <c r="AT240" s="1">
        <v>3</v>
      </c>
      <c r="AU240" s="1">
        <v>7</v>
      </c>
      <c r="AV240" s="5" t="s">
        <v>143</v>
      </c>
      <c r="AW240" s="1" t="s">
        <v>37</v>
      </c>
      <c r="AX240" s="1" t="s">
        <v>37</v>
      </c>
    </row>
    <row r="241" spans="36:50" x14ac:dyDescent="0.25">
      <c r="AJ241" s="5" t="s">
        <v>359</v>
      </c>
      <c r="AK241" s="5" t="s">
        <v>647</v>
      </c>
      <c r="AL241" s="107"/>
      <c r="AN241" s="1" t="s">
        <v>887</v>
      </c>
      <c r="AO241" s="5" t="s">
        <v>755</v>
      </c>
      <c r="AP241" s="1">
        <v>1</v>
      </c>
      <c r="AQ241" s="2">
        <v>190000</v>
      </c>
      <c r="AR241" s="1">
        <v>6</v>
      </c>
      <c r="AS241" s="1">
        <v>3</v>
      </c>
      <c r="AT241" s="1">
        <v>3</v>
      </c>
      <c r="AU241" s="1">
        <v>8</v>
      </c>
      <c r="AV241" s="5" t="s">
        <v>756</v>
      </c>
      <c r="AW241" s="1" t="s">
        <v>37</v>
      </c>
      <c r="AX241" s="1" t="s">
        <v>37</v>
      </c>
    </row>
    <row r="242" spans="36:50" x14ac:dyDescent="0.25">
      <c r="AJ242" s="5" t="s">
        <v>360</v>
      </c>
      <c r="AK242" s="5" t="s">
        <v>647</v>
      </c>
      <c r="AL242" s="107"/>
      <c r="AN242" s="1" t="s">
        <v>887</v>
      </c>
      <c r="AO242" s="5" t="s">
        <v>113</v>
      </c>
      <c r="AP242" s="1">
        <v>1</v>
      </c>
      <c r="AQ242" s="2">
        <v>220000</v>
      </c>
      <c r="AR242" s="1">
        <v>7</v>
      </c>
      <c r="AS242" s="1">
        <v>3</v>
      </c>
      <c r="AT242" s="1">
        <v>3</v>
      </c>
      <c r="AU242" s="1">
        <v>7</v>
      </c>
      <c r="AV242" s="5" t="s">
        <v>145</v>
      </c>
      <c r="AW242" s="1" t="s">
        <v>37</v>
      </c>
      <c r="AX242" s="1" t="s">
        <v>37</v>
      </c>
    </row>
    <row r="243" spans="36:50" x14ac:dyDescent="0.25">
      <c r="AJ243" s="5" t="s">
        <v>361</v>
      </c>
      <c r="AK243" s="5" t="s">
        <v>647</v>
      </c>
      <c r="AL243" s="107"/>
      <c r="AN243" s="1" t="s">
        <v>887</v>
      </c>
      <c r="AO243" s="5" t="s">
        <v>292</v>
      </c>
      <c r="AP243" s="1">
        <v>1</v>
      </c>
      <c r="AQ243" s="2">
        <v>220000</v>
      </c>
      <c r="AR243" s="1">
        <v>6</v>
      </c>
      <c r="AS243" s="1">
        <v>4</v>
      </c>
      <c r="AT243" s="1">
        <v>2</v>
      </c>
      <c r="AU243" s="1">
        <v>8</v>
      </c>
      <c r="AV243" s="5" t="s">
        <v>160</v>
      </c>
      <c r="AW243" s="1" t="s">
        <v>37</v>
      </c>
      <c r="AX243" s="1" t="s">
        <v>37</v>
      </c>
    </row>
    <row r="244" spans="36:50" x14ac:dyDescent="0.25">
      <c r="AJ244" s="5" t="s">
        <v>667</v>
      </c>
      <c r="AK244" s="5" t="s">
        <v>647</v>
      </c>
      <c r="AL244" s="107"/>
      <c r="AN244" s="1" t="s">
        <v>887</v>
      </c>
      <c r="AO244" s="5" t="s">
        <v>750</v>
      </c>
      <c r="AP244" s="1">
        <v>1</v>
      </c>
      <c r="AQ244" s="2">
        <v>230000</v>
      </c>
      <c r="AR244" s="1">
        <v>6</v>
      </c>
      <c r="AS244" s="1">
        <v>4</v>
      </c>
      <c r="AT244" s="1">
        <v>2</v>
      </c>
      <c r="AU244" s="1">
        <v>8</v>
      </c>
      <c r="AV244" s="5" t="s">
        <v>751</v>
      </c>
      <c r="AW244" s="1" t="s">
        <v>37</v>
      </c>
      <c r="AX244" s="1" t="s">
        <v>37</v>
      </c>
    </row>
    <row r="245" spans="36:50" x14ac:dyDescent="0.25">
      <c r="AJ245" s="5" t="s">
        <v>668</v>
      </c>
      <c r="AK245" s="5" t="s">
        <v>647</v>
      </c>
      <c r="AL245" s="107"/>
      <c r="AN245" s="1" t="s">
        <v>887</v>
      </c>
      <c r="AO245" s="5" t="s">
        <v>119</v>
      </c>
      <c r="AP245" s="1">
        <v>1</v>
      </c>
      <c r="AQ245" s="2">
        <v>360000</v>
      </c>
      <c r="AR245" s="1">
        <v>5</v>
      </c>
      <c r="AS245" s="1">
        <v>6</v>
      </c>
      <c r="AT245" s="1">
        <v>1</v>
      </c>
      <c r="AU245" s="1">
        <v>9</v>
      </c>
      <c r="AV245" s="5" t="s">
        <v>156</v>
      </c>
      <c r="AW245" s="1" t="s">
        <v>37</v>
      </c>
      <c r="AX245" s="1" t="s">
        <v>37</v>
      </c>
    </row>
    <row r="246" spans="36:50" x14ac:dyDescent="0.25">
      <c r="AJ246" s="5" t="s">
        <v>669</v>
      </c>
      <c r="AK246" s="5" t="s">
        <v>647</v>
      </c>
      <c r="AL246" s="107"/>
      <c r="AN246" s="1" t="s">
        <v>887</v>
      </c>
      <c r="AO246" s="99" t="s">
        <v>867</v>
      </c>
      <c r="AP246" s="92">
        <v>1</v>
      </c>
      <c r="AQ246" s="100">
        <v>380000</v>
      </c>
      <c r="AR246" s="92">
        <v>5</v>
      </c>
      <c r="AS246" s="92">
        <v>6</v>
      </c>
      <c r="AT246" s="92">
        <v>2</v>
      </c>
      <c r="AU246" s="92">
        <v>10</v>
      </c>
      <c r="AV246" s="99" t="s">
        <v>864</v>
      </c>
      <c r="AW246" s="1" t="s">
        <v>37</v>
      </c>
      <c r="AX246" s="1" t="s">
        <v>37</v>
      </c>
    </row>
    <row r="247" spans="36:50" x14ac:dyDescent="0.25">
      <c r="AJ247" s="5" t="s">
        <v>670</v>
      </c>
      <c r="AK247" s="5" t="s">
        <v>647</v>
      </c>
      <c r="AL247" s="107"/>
      <c r="AN247" s="1" t="s">
        <v>887</v>
      </c>
      <c r="AO247" s="99" t="s">
        <v>877</v>
      </c>
      <c r="AP247" s="92">
        <v>16</v>
      </c>
      <c r="AQ247" s="100">
        <v>400000</v>
      </c>
      <c r="AR247" s="92">
        <v>6</v>
      </c>
      <c r="AS247" s="92">
        <v>7</v>
      </c>
      <c r="AT247" s="92">
        <v>2</v>
      </c>
      <c r="AU247" s="92">
        <v>10</v>
      </c>
      <c r="AV247" s="99" t="s">
        <v>878</v>
      </c>
      <c r="AW247" s="1" t="s">
        <v>37</v>
      </c>
      <c r="AX247" s="1" t="s">
        <v>37</v>
      </c>
    </row>
    <row r="248" spans="36:50" x14ac:dyDescent="0.25">
      <c r="AJ248" s="5" t="s">
        <v>362</v>
      </c>
      <c r="AK248" s="5" t="s">
        <v>647</v>
      </c>
      <c r="AL248" s="107"/>
      <c r="AN248" s="1" t="s">
        <v>258</v>
      </c>
      <c r="AO248" s="5"/>
      <c r="AP248" s="1"/>
      <c r="AQ248" s="2"/>
      <c r="AR248" s="1"/>
      <c r="AS248" s="1"/>
      <c r="AT248" s="1"/>
      <c r="AU248" s="1"/>
      <c r="AV248"/>
      <c r="AW248" s="1"/>
      <c r="AX248" s="1"/>
    </row>
    <row r="249" spans="36:50" x14ac:dyDescent="0.25">
      <c r="AJ249" s="5" t="s">
        <v>671</v>
      </c>
      <c r="AK249" s="5" t="s">
        <v>647</v>
      </c>
      <c r="AL249" s="107"/>
      <c r="AN249" s="1" t="s">
        <v>258</v>
      </c>
      <c r="AO249" s="5" t="s">
        <v>189</v>
      </c>
      <c r="AP249" s="1">
        <v>16</v>
      </c>
      <c r="AQ249" s="2">
        <v>60000</v>
      </c>
      <c r="AR249" s="1">
        <v>8</v>
      </c>
      <c r="AS249" s="1">
        <v>2</v>
      </c>
      <c r="AT249" s="1">
        <v>3</v>
      </c>
      <c r="AU249" s="1">
        <v>7</v>
      </c>
      <c r="AV249" t="s">
        <v>234</v>
      </c>
      <c r="AW249" s="1" t="s">
        <v>85</v>
      </c>
      <c r="AX249" s="1" t="s">
        <v>284</v>
      </c>
    </row>
    <row r="250" spans="36:50" x14ac:dyDescent="0.25">
      <c r="AJ250" s="5" t="s">
        <v>201</v>
      </c>
      <c r="AK250" s="5" t="s">
        <v>647</v>
      </c>
      <c r="AL250" s="107"/>
      <c r="AN250" s="1" t="s">
        <v>258</v>
      </c>
      <c r="AO250" s="99" t="s">
        <v>843</v>
      </c>
      <c r="AP250" s="92">
        <v>2</v>
      </c>
      <c r="AQ250" s="100">
        <v>70000</v>
      </c>
      <c r="AR250" s="92">
        <v>7</v>
      </c>
      <c r="AS250" s="92">
        <v>2</v>
      </c>
      <c r="AT250" s="92">
        <v>3</v>
      </c>
      <c r="AU250" s="92">
        <v>7</v>
      </c>
      <c r="AV250" s="65" t="s">
        <v>844</v>
      </c>
      <c r="AW250" s="1" t="s">
        <v>85</v>
      </c>
      <c r="AX250" s="1" t="s">
        <v>284</v>
      </c>
    </row>
    <row r="251" spans="36:50" x14ac:dyDescent="0.25">
      <c r="AJ251" s="5" t="s">
        <v>672</v>
      </c>
      <c r="AK251" s="5"/>
      <c r="AL251" s="107"/>
      <c r="AN251" s="1" t="s">
        <v>258</v>
      </c>
      <c r="AO251" s="5" t="s">
        <v>190</v>
      </c>
      <c r="AP251" s="1">
        <v>6</v>
      </c>
      <c r="AQ251" s="2">
        <v>80000</v>
      </c>
      <c r="AR251" s="1">
        <v>6</v>
      </c>
      <c r="AS251" s="1">
        <v>4</v>
      </c>
      <c r="AT251" s="1">
        <v>1</v>
      </c>
      <c r="AU251" s="1">
        <v>9</v>
      </c>
      <c r="AV251" t="s">
        <v>647</v>
      </c>
      <c r="AW251" s="1" t="s">
        <v>25</v>
      </c>
      <c r="AX251" s="1" t="s">
        <v>29</v>
      </c>
    </row>
    <row r="252" spans="36:50" x14ac:dyDescent="0.25">
      <c r="AJ252" s="5" t="s">
        <v>673</v>
      </c>
      <c r="AK252" s="5" t="s">
        <v>647</v>
      </c>
      <c r="AL252" s="107"/>
      <c r="AN252" s="1" t="s">
        <v>258</v>
      </c>
      <c r="AO252" s="5" t="s">
        <v>191</v>
      </c>
      <c r="AP252" s="1">
        <v>1</v>
      </c>
      <c r="AQ252" s="2">
        <v>140000</v>
      </c>
      <c r="AR252" s="1">
        <v>6</v>
      </c>
      <c r="AS252" s="1">
        <v>5</v>
      </c>
      <c r="AT252" s="1">
        <v>1</v>
      </c>
      <c r="AU252" s="1">
        <v>9</v>
      </c>
      <c r="AV252" t="s">
        <v>315</v>
      </c>
      <c r="AW252" s="1" t="s">
        <v>61</v>
      </c>
      <c r="AX252" s="1" t="s">
        <v>45</v>
      </c>
    </row>
    <row r="253" spans="36:50" x14ac:dyDescent="0.25">
      <c r="AJ253" s="5" t="s">
        <v>363</v>
      </c>
      <c r="AK253" s="5" t="s">
        <v>647</v>
      </c>
      <c r="AL253" s="107"/>
      <c r="AN253" s="1" t="s">
        <v>258</v>
      </c>
      <c r="AO253" s="5" t="s">
        <v>46</v>
      </c>
      <c r="AP253" s="1">
        <v>11</v>
      </c>
      <c r="AQ253" s="2">
        <v>60000</v>
      </c>
      <c r="AR253" s="1">
        <v>8</v>
      </c>
      <c r="AS253" s="1">
        <v>2</v>
      </c>
      <c r="AT253" s="1">
        <v>3</v>
      </c>
      <c r="AU253" s="1">
        <v>7</v>
      </c>
      <c r="AV253" t="s">
        <v>235</v>
      </c>
      <c r="AW253" s="1" t="s">
        <v>85</v>
      </c>
      <c r="AX253" s="1" t="s">
        <v>284</v>
      </c>
    </row>
    <row r="254" spans="36:50" x14ac:dyDescent="0.25">
      <c r="AJ254" s="5" t="s">
        <v>368</v>
      </c>
      <c r="AK254" s="5" t="s">
        <v>647</v>
      </c>
      <c r="AL254" s="107"/>
      <c r="AN254" s="1" t="s">
        <v>258</v>
      </c>
      <c r="AO254" s="5" t="s">
        <v>30</v>
      </c>
      <c r="AP254" s="1">
        <v>1</v>
      </c>
      <c r="AQ254" s="2">
        <v>110000</v>
      </c>
      <c r="AR254" s="1">
        <v>6</v>
      </c>
      <c r="AS254" s="1">
        <v>3</v>
      </c>
      <c r="AT254" s="1">
        <v>3</v>
      </c>
      <c r="AU254" s="1">
        <v>8</v>
      </c>
      <c r="AV254" s="5" t="s">
        <v>138</v>
      </c>
      <c r="AW254" s="1" t="s">
        <v>37</v>
      </c>
      <c r="AX254" s="1" t="s">
        <v>37</v>
      </c>
    </row>
    <row r="255" spans="36:50" x14ac:dyDescent="0.25">
      <c r="AJ255" s="5" t="s">
        <v>674</v>
      </c>
      <c r="AK255" s="5" t="s">
        <v>647</v>
      </c>
      <c r="AL255" s="107"/>
      <c r="AN255" s="1" t="s">
        <v>258</v>
      </c>
      <c r="AO255" s="5" t="s">
        <v>290</v>
      </c>
      <c r="AP255" s="1">
        <v>1</v>
      </c>
      <c r="AQ255" s="2">
        <v>170000</v>
      </c>
      <c r="AR255" s="1">
        <v>8</v>
      </c>
      <c r="AS255" s="1">
        <v>2</v>
      </c>
      <c r="AT255" s="1">
        <v>3</v>
      </c>
      <c r="AU255" s="1">
        <v>7</v>
      </c>
      <c r="AV255" s="5" t="s">
        <v>139</v>
      </c>
      <c r="AW255" s="1" t="s">
        <v>37</v>
      </c>
      <c r="AX255" s="1" t="s">
        <v>37</v>
      </c>
    </row>
    <row r="256" spans="36:50" x14ac:dyDescent="0.25">
      <c r="AJ256" s="5" t="s">
        <v>364</v>
      </c>
      <c r="AK256" s="5" t="s">
        <v>647</v>
      </c>
      <c r="AL256" s="107"/>
      <c r="AN256" s="1" t="s">
        <v>258</v>
      </c>
      <c r="AO256" s="99" t="s">
        <v>858</v>
      </c>
      <c r="AP256" s="92">
        <v>1</v>
      </c>
      <c r="AQ256" s="100">
        <v>190000</v>
      </c>
      <c r="AR256" s="1">
        <v>8</v>
      </c>
      <c r="AS256" s="1">
        <v>2</v>
      </c>
      <c r="AT256" s="1">
        <v>3</v>
      </c>
      <c r="AU256" s="1">
        <v>7</v>
      </c>
      <c r="AV256" s="99" t="s">
        <v>848</v>
      </c>
      <c r="AW256" s="1" t="s">
        <v>37</v>
      </c>
      <c r="AX256" s="1" t="s">
        <v>37</v>
      </c>
    </row>
    <row r="257" spans="36:50" x14ac:dyDescent="0.25">
      <c r="AJ257" s="5" t="s">
        <v>675</v>
      </c>
      <c r="AK257" s="5" t="s">
        <v>647</v>
      </c>
      <c r="AL257" s="107"/>
      <c r="AN257" s="1" t="s">
        <v>258</v>
      </c>
      <c r="AO257" s="99" t="s">
        <v>847</v>
      </c>
      <c r="AP257" s="92">
        <v>1</v>
      </c>
      <c r="AQ257" s="1" t="s">
        <v>37</v>
      </c>
      <c r="AR257" s="1">
        <v>8</v>
      </c>
      <c r="AS257" s="1">
        <v>2</v>
      </c>
      <c r="AT257" s="1">
        <v>3</v>
      </c>
      <c r="AU257" s="1">
        <v>7</v>
      </c>
      <c r="AV257" s="99" t="s">
        <v>849</v>
      </c>
      <c r="AW257" s="1" t="s">
        <v>37</v>
      </c>
      <c r="AX257" s="1" t="s">
        <v>37</v>
      </c>
    </row>
    <row r="258" spans="36:50" x14ac:dyDescent="0.25">
      <c r="AJ258" s="5" t="s">
        <v>365</v>
      </c>
      <c r="AK258" s="5" t="s">
        <v>647</v>
      </c>
      <c r="AL258" s="107"/>
      <c r="AN258" s="1" t="s">
        <v>258</v>
      </c>
      <c r="AO258" s="99" t="s">
        <v>845</v>
      </c>
      <c r="AP258" s="92">
        <v>1</v>
      </c>
      <c r="AQ258" s="100">
        <v>210000</v>
      </c>
      <c r="AR258" s="92">
        <v>7</v>
      </c>
      <c r="AS258" s="92">
        <v>4</v>
      </c>
      <c r="AT258" s="92">
        <v>1</v>
      </c>
      <c r="AU258" s="92">
        <v>9</v>
      </c>
      <c r="AV258" s="99" t="s">
        <v>846</v>
      </c>
      <c r="AW258" s="1" t="s">
        <v>37</v>
      </c>
      <c r="AX258" s="1" t="s">
        <v>37</v>
      </c>
    </row>
    <row r="259" spans="36:50" x14ac:dyDescent="0.25">
      <c r="AJ259" s="5" t="s">
        <v>676</v>
      </c>
      <c r="AK259" s="5"/>
      <c r="AL259" s="107"/>
      <c r="AN259" s="1" t="s">
        <v>258</v>
      </c>
      <c r="AO259" s="5" t="s">
        <v>325</v>
      </c>
      <c r="AP259" s="1">
        <v>1</v>
      </c>
      <c r="AQ259" s="2">
        <v>220000</v>
      </c>
      <c r="AR259" s="1">
        <v>8</v>
      </c>
      <c r="AS259" s="1">
        <v>3</v>
      </c>
      <c r="AT259" s="1">
        <v>3</v>
      </c>
      <c r="AU259" s="1">
        <v>8</v>
      </c>
      <c r="AV259" s="5" t="s">
        <v>148</v>
      </c>
      <c r="AW259" s="1" t="s">
        <v>37</v>
      </c>
      <c r="AX259" s="1" t="s">
        <v>37</v>
      </c>
    </row>
    <row r="260" spans="36:50" x14ac:dyDescent="0.25">
      <c r="AJ260" s="5" t="s">
        <v>366</v>
      </c>
      <c r="AK260" s="5" t="s">
        <v>875</v>
      </c>
      <c r="AL260" s="107">
        <v>100000</v>
      </c>
      <c r="AM260" s="65">
        <v>1</v>
      </c>
      <c r="AN260" s="1" t="s">
        <v>258</v>
      </c>
      <c r="AO260" s="5" t="s">
        <v>118</v>
      </c>
      <c r="AP260" s="1">
        <v>1</v>
      </c>
      <c r="AQ260" s="2">
        <v>250000</v>
      </c>
      <c r="AR260" s="1">
        <v>8</v>
      </c>
      <c r="AS260" s="1">
        <v>2</v>
      </c>
      <c r="AT260" s="1">
        <v>4</v>
      </c>
      <c r="AU260" s="1">
        <v>7</v>
      </c>
      <c r="AV260" s="5" t="s">
        <v>155</v>
      </c>
      <c r="AW260" s="1" t="s">
        <v>37</v>
      </c>
      <c r="AX260" s="1" t="s">
        <v>37</v>
      </c>
    </row>
    <row r="261" spans="36:50" x14ac:dyDescent="0.25">
      <c r="AJ261" s="5" t="s">
        <v>367</v>
      </c>
      <c r="AK261" s="5" t="s">
        <v>647</v>
      </c>
      <c r="AL261" s="107"/>
      <c r="AN261" s="1" t="s">
        <v>258</v>
      </c>
      <c r="AO261" s="5" t="s">
        <v>122</v>
      </c>
      <c r="AP261" s="1">
        <v>1</v>
      </c>
      <c r="AQ261" s="2">
        <v>250000</v>
      </c>
      <c r="AR261" s="1">
        <v>7</v>
      </c>
      <c r="AS261" s="1">
        <v>4</v>
      </c>
      <c r="AT261" s="1">
        <v>1</v>
      </c>
      <c r="AU261" s="1">
        <v>9</v>
      </c>
      <c r="AV261" s="5" t="s">
        <v>163</v>
      </c>
      <c r="AW261" s="1" t="s">
        <v>37</v>
      </c>
      <c r="AX261" s="1" t="s">
        <v>37</v>
      </c>
    </row>
    <row r="262" spans="36:50" x14ac:dyDescent="0.25">
      <c r="AJ262" s="5" t="s">
        <v>677</v>
      </c>
      <c r="AK262" s="5" t="s">
        <v>647</v>
      </c>
      <c r="AL262" s="107"/>
      <c r="AN262" s="1" t="s">
        <v>258</v>
      </c>
      <c r="AO262" s="99" t="s">
        <v>834</v>
      </c>
      <c r="AP262" s="92">
        <v>1</v>
      </c>
      <c r="AQ262" s="100">
        <v>280000</v>
      </c>
      <c r="AR262" s="92">
        <v>5</v>
      </c>
      <c r="AS262" s="92">
        <v>5</v>
      </c>
      <c r="AT262" s="92">
        <v>2</v>
      </c>
      <c r="AU262" s="92">
        <v>9</v>
      </c>
      <c r="AV262" s="99" t="s">
        <v>835</v>
      </c>
      <c r="AW262" s="1" t="s">
        <v>37</v>
      </c>
      <c r="AX262" s="1" t="s">
        <v>37</v>
      </c>
    </row>
    <row r="263" spans="36:50" x14ac:dyDescent="0.25">
      <c r="AJ263" s="5" t="s">
        <v>678</v>
      </c>
      <c r="AK263" s="5" t="s">
        <v>647</v>
      </c>
      <c r="AL263" s="107"/>
      <c r="AN263" s="1" t="s">
        <v>258</v>
      </c>
      <c r="AO263" s="99" t="s">
        <v>850</v>
      </c>
      <c r="AP263" s="92">
        <v>1</v>
      </c>
      <c r="AQ263" s="100">
        <v>360000</v>
      </c>
      <c r="AR263" s="92">
        <v>6</v>
      </c>
      <c r="AS263" s="92">
        <v>6</v>
      </c>
      <c r="AT263" s="92">
        <v>1</v>
      </c>
      <c r="AU263" s="92">
        <v>9</v>
      </c>
      <c r="AV263" s="99" t="s">
        <v>851</v>
      </c>
      <c r="AW263" s="1" t="s">
        <v>37</v>
      </c>
      <c r="AX263" s="1" t="s">
        <v>37</v>
      </c>
    </row>
    <row r="264" spans="36:50" x14ac:dyDescent="0.25">
      <c r="AJ264" s="5" t="s">
        <v>679</v>
      </c>
      <c r="AK264" s="5" t="s">
        <v>647</v>
      </c>
      <c r="AL264" s="107"/>
      <c r="AN264" s="1" t="s">
        <v>258</v>
      </c>
      <c r="AO264" s="99" t="s">
        <v>867</v>
      </c>
      <c r="AP264" s="92">
        <v>1</v>
      </c>
      <c r="AQ264" s="100">
        <v>380000</v>
      </c>
      <c r="AR264" s="92">
        <v>5</v>
      </c>
      <c r="AS264" s="92">
        <v>6</v>
      </c>
      <c r="AT264" s="92">
        <v>2</v>
      </c>
      <c r="AU264" s="92">
        <v>10</v>
      </c>
      <c r="AV264" s="99" t="s">
        <v>864</v>
      </c>
      <c r="AW264" s="1" t="s">
        <v>37</v>
      </c>
      <c r="AX264" s="1" t="s">
        <v>37</v>
      </c>
    </row>
    <row r="265" spans="36:50" x14ac:dyDescent="0.25">
      <c r="AJ265" s="5" t="s">
        <v>680</v>
      </c>
      <c r="AK265" s="5" t="s">
        <v>647</v>
      </c>
      <c r="AL265" s="107"/>
      <c r="AN265" s="1" t="s">
        <v>258</v>
      </c>
      <c r="AO265" s="99" t="s">
        <v>877</v>
      </c>
      <c r="AP265" s="92">
        <v>16</v>
      </c>
      <c r="AQ265" s="100">
        <v>400000</v>
      </c>
      <c r="AR265" s="92">
        <v>6</v>
      </c>
      <c r="AS265" s="92">
        <v>7</v>
      </c>
      <c r="AT265" s="92">
        <v>2</v>
      </c>
      <c r="AU265" s="92">
        <v>10</v>
      </c>
      <c r="AV265" s="99" t="s">
        <v>878</v>
      </c>
      <c r="AW265" s="1" t="s">
        <v>37</v>
      </c>
      <c r="AX265" s="1" t="s">
        <v>37</v>
      </c>
    </row>
    <row r="266" spans="36:50" x14ac:dyDescent="0.25">
      <c r="AJ266" s="5" t="s">
        <v>369</v>
      </c>
      <c r="AK266" s="5" t="s">
        <v>647</v>
      </c>
      <c r="AL266" s="107"/>
      <c r="AN266" s="1" t="s">
        <v>258</v>
      </c>
      <c r="AO266" s="5" t="s">
        <v>35</v>
      </c>
      <c r="AP266" s="1">
        <v>1</v>
      </c>
      <c r="AQ266" s="2">
        <v>430000</v>
      </c>
      <c r="AR266" s="1">
        <v>6</v>
      </c>
      <c r="AS266" s="1">
        <v>6</v>
      </c>
      <c r="AT266" s="1">
        <v>3</v>
      </c>
      <c r="AU266" s="1">
        <v>10</v>
      </c>
      <c r="AV266" s="5" t="s">
        <v>151</v>
      </c>
      <c r="AW266" s="1" t="s">
        <v>37</v>
      </c>
      <c r="AX266" s="1" t="s">
        <v>37</v>
      </c>
    </row>
    <row r="267" spans="36:50" x14ac:dyDescent="0.25">
      <c r="AN267" s="1" t="s">
        <v>260</v>
      </c>
      <c r="AO267" s="5"/>
      <c r="AP267" s="1"/>
      <c r="AQ267" s="2"/>
      <c r="AR267" s="1"/>
      <c r="AS267" s="1"/>
      <c r="AT267" s="1"/>
      <c r="AU267" s="1"/>
      <c r="AV267"/>
      <c r="AW267" s="1"/>
      <c r="AX267" s="1"/>
    </row>
    <row r="268" spans="36:50" x14ac:dyDescent="0.25">
      <c r="AN268" s="1" t="s">
        <v>260</v>
      </c>
      <c r="AO268" s="5" t="s">
        <v>259</v>
      </c>
      <c r="AP268" s="1">
        <v>16</v>
      </c>
      <c r="AQ268" s="2">
        <v>40000</v>
      </c>
      <c r="AR268" s="1">
        <v>4</v>
      </c>
      <c r="AS268" s="1">
        <v>3</v>
      </c>
      <c r="AT268" s="1">
        <v>2</v>
      </c>
      <c r="AU268" s="1">
        <v>8</v>
      </c>
      <c r="AV268" t="s">
        <v>236</v>
      </c>
      <c r="AW268" s="1" t="s">
        <v>22</v>
      </c>
      <c r="AX268" s="1" t="s">
        <v>26</v>
      </c>
    </row>
    <row r="269" spans="36:50" x14ac:dyDescent="0.25">
      <c r="AN269" s="1" t="s">
        <v>260</v>
      </c>
      <c r="AO269" s="5" t="s">
        <v>261</v>
      </c>
      <c r="AP269" s="1">
        <v>2</v>
      </c>
      <c r="AQ269" s="2">
        <v>70000</v>
      </c>
      <c r="AR269" s="1">
        <v>7</v>
      </c>
      <c r="AS269" s="1">
        <v>3</v>
      </c>
      <c r="AT269" s="1">
        <v>3</v>
      </c>
      <c r="AU269" s="1">
        <v>7</v>
      </c>
      <c r="AV269" t="s">
        <v>18</v>
      </c>
      <c r="AW269" s="1" t="s">
        <v>24</v>
      </c>
      <c r="AX269" s="1" t="s">
        <v>28</v>
      </c>
    </row>
    <row r="270" spans="36:50" x14ac:dyDescent="0.25">
      <c r="AN270" s="1" t="s">
        <v>260</v>
      </c>
      <c r="AO270" s="5" t="s">
        <v>262</v>
      </c>
      <c r="AP270" s="1">
        <v>2</v>
      </c>
      <c r="AQ270" s="2">
        <v>90000</v>
      </c>
      <c r="AR270" s="1">
        <v>6</v>
      </c>
      <c r="AS270" s="1">
        <v>3</v>
      </c>
      <c r="AT270" s="1">
        <v>3</v>
      </c>
      <c r="AU270" s="1">
        <v>8</v>
      </c>
      <c r="AV270" t="s">
        <v>313</v>
      </c>
      <c r="AW270" s="1" t="s">
        <v>25</v>
      </c>
      <c r="AX270" s="1" t="s">
        <v>29</v>
      </c>
    </row>
    <row r="271" spans="36:50" x14ac:dyDescent="0.25">
      <c r="AN271" s="1" t="s">
        <v>260</v>
      </c>
      <c r="AO271" s="5" t="s">
        <v>192</v>
      </c>
      <c r="AP271" s="1">
        <v>2</v>
      </c>
      <c r="AQ271" s="2">
        <v>110000</v>
      </c>
      <c r="AR271" s="1">
        <v>4</v>
      </c>
      <c r="AS271" s="1">
        <v>4</v>
      </c>
      <c r="AT271" s="1">
        <v>2</v>
      </c>
      <c r="AU271" s="1">
        <v>9</v>
      </c>
      <c r="AV271" t="s">
        <v>316</v>
      </c>
      <c r="AW271" s="1" t="s">
        <v>25</v>
      </c>
      <c r="AX271" s="1" t="s">
        <v>29</v>
      </c>
    </row>
    <row r="272" spans="36:50" x14ac:dyDescent="0.25">
      <c r="AN272" s="1" t="s">
        <v>260</v>
      </c>
      <c r="AO272" s="5" t="s">
        <v>193</v>
      </c>
      <c r="AP272" s="1">
        <v>2</v>
      </c>
      <c r="AQ272" s="2">
        <v>120000</v>
      </c>
      <c r="AR272" s="1">
        <v>8</v>
      </c>
      <c r="AS272" s="1">
        <v>3</v>
      </c>
      <c r="AT272" s="1">
        <v>3</v>
      </c>
      <c r="AU272" s="1">
        <v>8</v>
      </c>
      <c r="AV272" t="s">
        <v>317</v>
      </c>
      <c r="AW272" s="1" t="s">
        <v>24</v>
      </c>
      <c r="AX272" s="1" t="s">
        <v>28</v>
      </c>
    </row>
    <row r="273" spans="40:50" x14ac:dyDescent="0.25">
      <c r="AN273" s="1" t="s">
        <v>260</v>
      </c>
      <c r="AO273" s="5" t="s">
        <v>46</v>
      </c>
      <c r="AP273" s="1">
        <v>11</v>
      </c>
      <c r="AQ273" s="2">
        <v>40000</v>
      </c>
      <c r="AR273" s="1">
        <v>4</v>
      </c>
      <c r="AS273" s="1">
        <v>3</v>
      </c>
      <c r="AT273" s="1">
        <v>2</v>
      </c>
      <c r="AU273" s="1">
        <v>8</v>
      </c>
      <c r="AV273" t="s">
        <v>237</v>
      </c>
      <c r="AW273" s="1" t="s">
        <v>22</v>
      </c>
      <c r="AX273" s="1" t="s">
        <v>26</v>
      </c>
    </row>
    <row r="274" spans="40:50" x14ac:dyDescent="0.25">
      <c r="AN274" s="1" t="s">
        <v>260</v>
      </c>
      <c r="AO274" s="5" t="s">
        <v>757</v>
      </c>
      <c r="AP274" s="1">
        <v>1</v>
      </c>
      <c r="AQ274" s="2">
        <v>100000</v>
      </c>
      <c r="AR274" s="1">
        <v>6</v>
      </c>
      <c r="AS274" s="1">
        <v>2</v>
      </c>
      <c r="AT274" s="1">
        <v>3</v>
      </c>
      <c r="AU274" s="1">
        <v>7</v>
      </c>
      <c r="AV274" s="5" t="s">
        <v>758</v>
      </c>
      <c r="AW274" s="1" t="s">
        <v>37</v>
      </c>
      <c r="AX274" s="1" t="s">
        <v>37</v>
      </c>
    </row>
    <row r="275" spans="40:50" x14ac:dyDescent="0.25">
      <c r="AN275" s="1" t="s">
        <v>260</v>
      </c>
      <c r="AO275" s="103" t="s">
        <v>763</v>
      </c>
      <c r="AP275" s="1">
        <v>1</v>
      </c>
      <c r="AQ275" s="2">
        <v>110000</v>
      </c>
      <c r="AR275" s="1">
        <v>4</v>
      </c>
      <c r="AS275" s="1">
        <v>3</v>
      </c>
      <c r="AT275" s="1">
        <v>2</v>
      </c>
      <c r="AU275" s="1">
        <v>8</v>
      </c>
      <c r="AV275" s="5" t="s">
        <v>754</v>
      </c>
      <c r="AW275" s="1" t="s">
        <v>37</v>
      </c>
      <c r="AX275" s="1" t="s">
        <v>37</v>
      </c>
    </row>
    <row r="276" spans="40:50" x14ac:dyDescent="0.25">
      <c r="AN276" s="1" t="s">
        <v>260</v>
      </c>
      <c r="AO276" s="5" t="s">
        <v>289</v>
      </c>
      <c r="AP276" s="1">
        <v>1</v>
      </c>
      <c r="AQ276" s="2">
        <v>120000</v>
      </c>
      <c r="AR276" s="1">
        <v>6</v>
      </c>
      <c r="AS276" s="1">
        <v>3</v>
      </c>
      <c r="AT276" s="1">
        <v>2</v>
      </c>
      <c r="AU276" s="1">
        <v>7</v>
      </c>
      <c r="AV276" s="5" t="s">
        <v>135</v>
      </c>
      <c r="AW276" s="1" t="s">
        <v>37</v>
      </c>
      <c r="AX276" s="1" t="s">
        <v>37</v>
      </c>
    </row>
    <row r="277" spans="40:50" x14ac:dyDescent="0.25">
      <c r="AN277" s="1" t="s">
        <v>260</v>
      </c>
      <c r="AO277" s="5" t="s">
        <v>759</v>
      </c>
      <c r="AP277" s="1">
        <v>1</v>
      </c>
      <c r="AQ277" s="2">
        <v>160000</v>
      </c>
      <c r="AR277" s="1">
        <v>7</v>
      </c>
      <c r="AS277" s="1">
        <v>3</v>
      </c>
      <c r="AT277" s="1">
        <v>3</v>
      </c>
      <c r="AU277" s="1">
        <v>7</v>
      </c>
      <c r="AV277" s="5" t="s">
        <v>760</v>
      </c>
      <c r="AW277" s="1" t="s">
        <v>37</v>
      </c>
      <c r="AX277" s="1" t="s">
        <v>37</v>
      </c>
    </row>
    <row r="278" spans="40:50" x14ac:dyDescent="0.25">
      <c r="AN278" s="1" t="s">
        <v>260</v>
      </c>
      <c r="AO278" s="5" t="s">
        <v>114</v>
      </c>
      <c r="AP278" s="1">
        <v>1</v>
      </c>
      <c r="AQ278" s="2">
        <v>180000</v>
      </c>
      <c r="AR278" s="1">
        <v>8</v>
      </c>
      <c r="AS278" s="1">
        <v>3</v>
      </c>
      <c r="AT278" s="1">
        <v>3</v>
      </c>
      <c r="AU278" s="1">
        <v>7</v>
      </c>
      <c r="AV278" s="5" t="s">
        <v>146</v>
      </c>
      <c r="AW278" s="1" t="s">
        <v>37</v>
      </c>
      <c r="AX278" s="1" t="s">
        <v>37</v>
      </c>
    </row>
    <row r="279" spans="40:50" x14ac:dyDescent="0.25">
      <c r="AN279" s="1" t="s">
        <v>260</v>
      </c>
      <c r="AO279" s="5" t="s">
        <v>292</v>
      </c>
      <c r="AP279" s="1">
        <v>1</v>
      </c>
      <c r="AQ279" s="2">
        <v>220000</v>
      </c>
      <c r="AR279" s="1">
        <v>6</v>
      </c>
      <c r="AS279" s="1">
        <v>4</v>
      </c>
      <c r="AT279" s="1">
        <v>2</v>
      </c>
      <c r="AU279" s="1">
        <v>8</v>
      </c>
      <c r="AV279" s="5" t="s">
        <v>160</v>
      </c>
      <c r="AW279" s="1" t="s">
        <v>37</v>
      </c>
      <c r="AX279" s="1" t="s">
        <v>37</v>
      </c>
    </row>
    <row r="280" spans="40:50" x14ac:dyDescent="0.25">
      <c r="AN280" s="1" t="s">
        <v>260</v>
      </c>
      <c r="AO280" s="5" t="s">
        <v>750</v>
      </c>
      <c r="AP280" s="1">
        <v>1</v>
      </c>
      <c r="AQ280" s="2">
        <v>230000</v>
      </c>
      <c r="AR280" s="1">
        <v>6</v>
      </c>
      <c r="AS280" s="1">
        <v>4</v>
      </c>
      <c r="AT280" s="1">
        <v>2</v>
      </c>
      <c r="AU280" s="1">
        <v>8</v>
      </c>
      <c r="AV280" s="5" t="s">
        <v>751</v>
      </c>
      <c r="AW280" s="1" t="s">
        <v>37</v>
      </c>
      <c r="AX280" s="1" t="s">
        <v>37</v>
      </c>
    </row>
    <row r="281" spans="40:50" x14ac:dyDescent="0.25">
      <c r="AN281" s="1" t="s">
        <v>260</v>
      </c>
      <c r="AO281" s="5" t="s">
        <v>294</v>
      </c>
      <c r="AP281" s="1">
        <v>1</v>
      </c>
      <c r="AQ281" s="2">
        <v>240000</v>
      </c>
      <c r="AR281" s="1">
        <v>8</v>
      </c>
      <c r="AS281" s="1">
        <v>4</v>
      </c>
      <c r="AT281" s="1">
        <v>3</v>
      </c>
      <c r="AU281" s="1">
        <v>8</v>
      </c>
      <c r="AV281" s="5" t="s">
        <v>166</v>
      </c>
      <c r="AW281" s="1" t="s">
        <v>37</v>
      </c>
      <c r="AX281" s="1" t="s">
        <v>37</v>
      </c>
    </row>
    <row r="282" spans="40:50" x14ac:dyDescent="0.25">
      <c r="AN282" s="1" t="s">
        <v>260</v>
      </c>
      <c r="AO282" s="99" t="s">
        <v>693</v>
      </c>
      <c r="AP282" s="92">
        <v>1</v>
      </c>
      <c r="AQ282" s="100">
        <v>270000</v>
      </c>
      <c r="AR282" s="92">
        <v>4</v>
      </c>
      <c r="AS282" s="92">
        <v>5</v>
      </c>
      <c r="AT282" s="92">
        <v>1</v>
      </c>
      <c r="AU282" s="92">
        <v>9</v>
      </c>
      <c r="AV282" s="99" t="s">
        <v>694</v>
      </c>
      <c r="AW282" s="1" t="s">
        <v>37</v>
      </c>
      <c r="AX282" s="1" t="s">
        <v>37</v>
      </c>
    </row>
    <row r="283" spans="40:50" x14ac:dyDescent="0.25">
      <c r="AN283" s="1" t="s">
        <v>260</v>
      </c>
      <c r="AO283" s="5" t="s">
        <v>778</v>
      </c>
      <c r="AP283" s="1">
        <v>1</v>
      </c>
      <c r="AQ283" s="2">
        <v>280000</v>
      </c>
      <c r="AR283" s="1">
        <v>7</v>
      </c>
      <c r="AS283" s="1">
        <v>3</v>
      </c>
      <c r="AT283" s="1">
        <v>4</v>
      </c>
      <c r="AU283" s="1">
        <v>8</v>
      </c>
      <c r="AV283" s="5" t="s">
        <v>779</v>
      </c>
      <c r="AW283" s="1" t="s">
        <v>37</v>
      </c>
      <c r="AX283" s="1" t="s">
        <v>37</v>
      </c>
    </row>
    <row r="284" spans="40:50" x14ac:dyDescent="0.25">
      <c r="AN284" s="1" t="s">
        <v>260</v>
      </c>
      <c r="AO284" s="5" t="s">
        <v>119</v>
      </c>
      <c r="AP284" s="1">
        <v>1</v>
      </c>
      <c r="AQ284" s="2">
        <v>360000</v>
      </c>
      <c r="AR284" s="1">
        <v>5</v>
      </c>
      <c r="AS284" s="1">
        <v>6</v>
      </c>
      <c r="AT284" s="1">
        <v>1</v>
      </c>
      <c r="AU284" s="1">
        <v>9</v>
      </c>
      <c r="AV284" s="5" t="s">
        <v>156</v>
      </c>
      <c r="AW284" s="1" t="s">
        <v>37</v>
      </c>
      <c r="AX284" s="1" t="s">
        <v>37</v>
      </c>
    </row>
    <row r="285" spans="40:50" x14ac:dyDescent="0.25">
      <c r="AN285" s="1" t="s">
        <v>260</v>
      </c>
      <c r="AO285" s="99" t="s">
        <v>867</v>
      </c>
      <c r="AP285" s="92">
        <v>1</v>
      </c>
      <c r="AQ285" s="100">
        <v>380000</v>
      </c>
      <c r="AR285" s="92">
        <v>5</v>
      </c>
      <c r="AS285" s="92">
        <v>6</v>
      </c>
      <c r="AT285" s="92">
        <v>2</v>
      </c>
      <c r="AU285" s="92">
        <v>10</v>
      </c>
      <c r="AV285" s="99" t="s">
        <v>864</v>
      </c>
      <c r="AW285" s="1" t="s">
        <v>37</v>
      </c>
      <c r="AX285" s="1" t="s">
        <v>37</v>
      </c>
    </row>
    <row r="286" spans="40:50" x14ac:dyDescent="0.25">
      <c r="AN286" s="1" t="s">
        <v>260</v>
      </c>
      <c r="AO286" s="5" t="s">
        <v>95</v>
      </c>
      <c r="AP286" s="1">
        <v>1</v>
      </c>
      <c r="AQ286" s="2">
        <v>390000</v>
      </c>
      <c r="AR286" s="1">
        <v>6</v>
      </c>
      <c r="AS286" s="1">
        <v>5</v>
      </c>
      <c r="AT286" s="1">
        <v>4</v>
      </c>
      <c r="AU286" s="1">
        <v>9</v>
      </c>
      <c r="AV286" s="5" t="s">
        <v>96</v>
      </c>
      <c r="AW286" s="1" t="s">
        <v>37</v>
      </c>
      <c r="AX286" s="1" t="s">
        <v>37</v>
      </c>
    </row>
    <row r="287" spans="40:50" x14ac:dyDescent="0.25">
      <c r="AN287" s="1" t="s">
        <v>260</v>
      </c>
      <c r="AO287" s="99" t="s">
        <v>877</v>
      </c>
      <c r="AP287" s="92">
        <v>16</v>
      </c>
      <c r="AQ287" s="100">
        <v>400000</v>
      </c>
      <c r="AR287" s="92">
        <v>6</v>
      </c>
      <c r="AS287" s="92">
        <v>7</v>
      </c>
      <c r="AT287" s="92">
        <v>2</v>
      </c>
      <c r="AU287" s="92">
        <v>10</v>
      </c>
      <c r="AV287" s="99" t="s">
        <v>878</v>
      </c>
      <c r="AW287" s="1" t="s">
        <v>37</v>
      </c>
      <c r="AX287" s="1" t="s">
        <v>37</v>
      </c>
    </row>
    <row r="288" spans="40:50" x14ac:dyDescent="0.25">
      <c r="AN288" s="1" t="s">
        <v>263</v>
      </c>
      <c r="AO288" s="5"/>
      <c r="AP288" s="1"/>
      <c r="AQ288" s="2"/>
      <c r="AR288" s="1"/>
      <c r="AS288" s="1"/>
      <c r="AT288" s="1"/>
      <c r="AU288" s="1"/>
      <c r="AV288"/>
      <c r="AW288" s="1"/>
      <c r="AX288" s="1"/>
    </row>
    <row r="289" spans="40:50" x14ac:dyDescent="0.25">
      <c r="AN289" s="1" t="s">
        <v>263</v>
      </c>
      <c r="AO289" s="5" t="s">
        <v>70</v>
      </c>
      <c r="AP289" s="1">
        <v>16</v>
      </c>
      <c r="AQ289" s="2">
        <v>50000</v>
      </c>
      <c r="AR289" s="1">
        <v>6</v>
      </c>
      <c r="AS289" s="1">
        <v>3</v>
      </c>
      <c r="AT289" s="1">
        <v>3</v>
      </c>
      <c r="AU289" s="1">
        <v>7</v>
      </c>
      <c r="AV289" t="s">
        <v>222</v>
      </c>
      <c r="AW289" s="1" t="s">
        <v>22</v>
      </c>
      <c r="AX289" s="1" t="s">
        <v>26</v>
      </c>
    </row>
    <row r="290" spans="40:50" x14ac:dyDescent="0.25">
      <c r="AN290" s="1" t="s">
        <v>263</v>
      </c>
      <c r="AO290" s="5" t="s">
        <v>3</v>
      </c>
      <c r="AP290" s="1">
        <v>2</v>
      </c>
      <c r="AQ290" s="2">
        <v>70000</v>
      </c>
      <c r="AR290" s="1">
        <v>6</v>
      </c>
      <c r="AS290" s="1">
        <v>3</v>
      </c>
      <c r="AT290" s="1">
        <v>3</v>
      </c>
      <c r="AU290" s="1">
        <v>7</v>
      </c>
      <c r="AV290" t="s">
        <v>305</v>
      </c>
      <c r="AW290" s="1" t="s">
        <v>23</v>
      </c>
      <c r="AX290" s="1" t="s">
        <v>26</v>
      </c>
    </row>
    <row r="291" spans="40:50" x14ac:dyDescent="0.25">
      <c r="AN291" s="1" t="s">
        <v>263</v>
      </c>
      <c r="AO291" s="5" t="s">
        <v>71</v>
      </c>
      <c r="AP291" s="1">
        <v>2</v>
      </c>
      <c r="AQ291" s="2">
        <v>90000</v>
      </c>
      <c r="AR291" s="1">
        <v>7</v>
      </c>
      <c r="AS291" s="1">
        <v>3</v>
      </c>
      <c r="AT291" s="1">
        <v>3</v>
      </c>
      <c r="AU291" s="1">
        <v>7</v>
      </c>
      <c r="AV291" t="s">
        <v>306</v>
      </c>
      <c r="AW291" s="1" t="s">
        <v>24</v>
      </c>
      <c r="AX291" s="1" t="s">
        <v>28</v>
      </c>
    </row>
    <row r="292" spans="40:50" x14ac:dyDescent="0.25">
      <c r="AN292" s="1" t="s">
        <v>263</v>
      </c>
      <c r="AO292" s="5" t="s">
        <v>264</v>
      </c>
      <c r="AP292" s="1">
        <v>2</v>
      </c>
      <c r="AQ292" s="2">
        <v>90000</v>
      </c>
      <c r="AR292" s="1">
        <v>6</v>
      </c>
      <c r="AS292" s="1">
        <v>3</v>
      </c>
      <c r="AT292" s="1">
        <v>3</v>
      </c>
      <c r="AU292" s="1">
        <v>7</v>
      </c>
      <c r="AV292" t="s">
        <v>307</v>
      </c>
      <c r="AW292" s="1" t="s">
        <v>25</v>
      </c>
      <c r="AX292" s="1" t="s">
        <v>29</v>
      </c>
    </row>
    <row r="293" spans="40:50" x14ac:dyDescent="0.25">
      <c r="AN293" s="1" t="s">
        <v>263</v>
      </c>
      <c r="AO293" s="5" t="s">
        <v>194</v>
      </c>
      <c r="AP293" s="1">
        <v>2</v>
      </c>
      <c r="AQ293" s="2">
        <v>110000</v>
      </c>
      <c r="AR293" s="1">
        <v>6</v>
      </c>
      <c r="AS293" s="1">
        <v>4</v>
      </c>
      <c r="AT293" s="1">
        <v>2</v>
      </c>
      <c r="AU293" s="1">
        <v>8</v>
      </c>
      <c r="AV293" t="s">
        <v>238</v>
      </c>
      <c r="AW293" s="1" t="s">
        <v>25</v>
      </c>
      <c r="AX293" s="1" t="s">
        <v>29</v>
      </c>
    </row>
    <row r="294" spans="40:50" x14ac:dyDescent="0.25">
      <c r="AN294" s="1" t="s">
        <v>263</v>
      </c>
      <c r="AO294" s="5" t="s">
        <v>195</v>
      </c>
      <c r="AP294" s="1">
        <v>1</v>
      </c>
      <c r="AQ294" s="2">
        <v>140000</v>
      </c>
      <c r="AR294" s="1">
        <v>5</v>
      </c>
      <c r="AS294" s="1">
        <v>5</v>
      </c>
      <c r="AT294" s="1">
        <v>1</v>
      </c>
      <c r="AU294" s="1">
        <v>8</v>
      </c>
      <c r="AV294" t="s">
        <v>239</v>
      </c>
      <c r="AW294" s="1" t="s">
        <v>61</v>
      </c>
      <c r="AX294" s="1" t="s">
        <v>45</v>
      </c>
    </row>
    <row r="295" spans="40:50" x14ac:dyDescent="0.25">
      <c r="AN295" s="1" t="s">
        <v>263</v>
      </c>
      <c r="AO295" s="5" t="s">
        <v>46</v>
      </c>
      <c r="AP295" s="1">
        <v>11</v>
      </c>
      <c r="AQ295" s="2">
        <v>50000</v>
      </c>
      <c r="AR295" s="1">
        <v>6</v>
      </c>
      <c r="AS295" s="1">
        <v>3</v>
      </c>
      <c r="AT295" s="1">
        <v>3</v>
      </c>
      <c r="AU295" s="1">
        <v>7</v>
      </c>
      <c r="AV295" t="s">
        <v>240</v>
      </c>
      <c r="AW295" s="1" t="s">
        <v>22</v>
      </c>
      <c r="AX295" s="1" t="s">
        <v>26</v>
      </c>
    </row>
    <row r="296" spans="40:50" x14ac:dyDescent="0.25">
      <c r="AN296" s="1" t="s">
        <v>263</v>
      </c>
      <c r="AO296" s="5" t="s">
        <v>93</v>
      </c>
      <c r="AP296" s="1">
        <v>1</v>
      </c>
      <c r="AQ296" s="2">
        <v>60000</v>
      </c>
      <c r="AR296" s="1">
        <v>4</v>
      </c>
      <c r="AS296" s="1">
        <v>3</v>
      </c>
      <c r="AT296" s="1">
        <v>2</v>
      </c>
      <c r="AU296" s="1">
        <v>9</v>
      </c>
      <c r="AV296" s="5" t="s">
        <v>94</v>
      </c>
      <c r="AW296" s="1" t="s">
        <v>37</v>
      </c>
      <c r="AX296" s="1" t="s">
        <v>37</v>
      </c>
    </row>
    <row r="297" spans="40:50" x14ac:dyDescent="0.25">
      <c r="AN297" s="1" t="s">
        <v>263</v>
      </c>
      <c r="AO297" s="5" t="s">
        <v>30</v>
      </c>
      <c r="AP297" s="1">
        <v>1</v>
      </c>
      <c r="AQ297" s="2">
        <v>110000</v>
      </c>
      <c r="AR297" s="1">
        <v>6</v>
      </c>
      <c r="AS297" s="1">
        <v>3</v>
      </c>
      <c r="AT297" s="1">
        <v>3</v>
      </c>
      <c r="AU297" s="1">
        <v>8</v>
      </c>
      <c r="AV297" s="5" t="s">
        <v>138</v>
      </c>
      <c r="AW297" s="1" t="s">
        <v>37</v>
      </c>
      <c r="AX297" s="1" t="s">
        <v>37</v>
      </c>
    </row>
    <row r="298" spans="40:50" x14ac:dyDescent="0.25">
      <c r="AN298" s="1" t="s">
        <v>263</v>
      </c>
      <c r="AO298" s="5" t="s">
        <v>125</v>
      </c>
      <c r="AP298" s="1">
        <v>1</v>
      </c>
      <c r="AQ298" s="2">
        <v>220000</v>
      </c>
      <c r="AR298" s="1">
        <v>6</v>
      </c>
      <c r="AS298" s="1">
        <v>4</v>
      </c>
      <c r="AT298" s="1">
        <v>3</v>
      </c>
      <c r="AU298" s="1">
        <v>8</v>
      </c>
      <c r="AV298" s="5" t="s">
        <v>169</v>
      </c>
      <c r="AW298" s="1" t="s">
        <v>37</v>
      </c>
      <c r="AX298" s="1" t="s">
        <v>37</v>
      </c>
    </row>
    <row r="299" spans="40:50" x14ac:dyDescent="0.25">
      <c r="AN299" s="1" t="s">
        <v>263</v>
      </c>
      <c r="AO299" s="5" t="s">
        <v>294</v>
      </c>
      <c r="AP299" s="1">
        <v>1</v>
      </c>
      <c r="AQ299" s="2">
        <v>240000</v>
      </c>
      <c r="AR299" s="1">
        <v>8</v>
      </c>
      <c r="AS299" s="1">
        <v>4</v>
      </c>
      <c r="AT299" s="1">
        <v>3</v>
      </c>
      <c r="AU299" s="1">
        <v>8</v>
      </c>
      <c r="AV299" s="5" t="s">
        <v>166</v>
      </c>
      <c r="AW299" s="1" t="s">
        <v>37</v>
      </c>
      <c r="AX299" s="1" t="s">
        <v>37</v>
      </c>
    </row>
    <row r="300" spans="40:50" x14ac:dyDescent="0.25">
      <c r="AN300" s="1" t="s">
        <v>263</v>
      </c>
      <c r="AO300" s="99" t="s">
        <v>705</v>
      </c>
      <c r="AP300" s="1">
        <v>1</v>
      </c>
      <c r="AQ300" s="100">
        <v>250000</v>
      </c>
      <c r="AR300" s="1">
        <v>5</v>
      </c>
      <c r="AS300" s="1">
        <v>5</v>
      </c>
      <c r="AT300" s="1">
        <v>1</v>
      </c>
      <c r="AU300" s="1">
        <v>9</v>
      </c>
      <c r="AV300" s="99" t="s">
        <v>706</v>
      </c>
      <c r="AW300" s="1" t="s">
        <v>37</v>
      </c>
      <c r="AX300" s="1" t="s">
        <v>37</v>
      </c>
    </row>
    <row r="301" spans="40:50" x14ac:dyDescent="0.25">
      <c r="AN301" s="1" t="s">
        <v>263</v>
      </c>
      <c r="AO301" s="5" t="s">
        <v>33</v>
      </c>
      <c r="AP301" s="1">
        <v>1</v>
      </c>
      <c r="AQ301" s="2">
        <v>270000</v>
      </c>
      <c r="AR301" s="1">
        <v>6</v>
      </c>
      <c r="AS301" s="1">
        <v>4</v>
      </c>
      <c r="AT301" s="1">
        <v>3</v>
      </c>
      <c r="AU301" s="1">
        <v>8</v>
      </c>
      <c r="AV301" s="5" t="s">
        <v>168</v>
      </c>
      <c r="AW301" s="1" t="s">
        <v>37</v>
      </c>
      <c r="AX301" s="1" t="s">
        <v>37</v>
      </c>
    </row>
    <row r="302" spans="40:50" x14ac:dyDescent="0.25">
      <c r="AN302" s="1" t="s">
        <v>263</v>
      </c>
      <c r="AO302" s="5" t="s">
        <v>291</v>
      </c>
      <c r="AP302" s="1">
        <v>1</v>
      </c>
      <c r="AQ302" s="2">
        <v>330000</v>
      </c>
      <c r="AR302" s="1">
        <v>5</v>
      </c>
      <c r="AS302" s="1">
        <v>6</v>
      </c>
      <c r="AT302" s="1">
        <v>1</v>
      </c>
      <c r="AU302" s="1">
        <v>8</v>
      </c>
      <c r="AV302" s="5" t="s">
        <v>144</v>
      </c>
      <c r="AW302" s="1" t="s">
        <v>37</v>
      </c>
      <c r="AX302" s="1" t="s">
        <v>37</v>
      </c>
    </row>
    <row r="303" spans="40:50" x14ac:dyDescent="0.25">
      <c r="AN303" s="1" t="s">
        <v>263</v>
      </c>
      <c r="AO303" s="99" t="s">
        <v>867</v>
      </c>
      <c r="AP303" s="92">
        <v>1</v>
      </c>
      <c r="AQ303" s="100">
        <v>380000</v>
      </c>
      <c r="AR303" s="92">
        <v>5</v>
      </c>
      <c r="AS303" s="92">
        <v>6</v>
      </c>
      <c r="AT303" s="92">
        <v>2</v>
      </c>
      <c r="AU303" s="92">
        <v>10</v>
      </c>
      <c r="AV303" s="99" t="s">
        <v>864</v>
      </c>
      <c r="AW303" s="1" t="s">
        <v>37</v>
      </c>
      <c r="AX303" s="1" t="s">
        <v>37</v>
      </c>
    </row>
    <row r="304" spans="40:50" x14ac:dyDescent="0.25">
      <c r="AN304" s="1" t="s">
        <v>263</v>
      </c>
      <c r="AO304" s="99" t="s">
        <v>877</v>
      </c>
      <c r="AP304" s="92">
        <v>16</v>
      </c>
      <c r="AQ304" s="100">
        <v>400000</v>
      </c>
      <c r="AR304" s="92">
        <v>6</v>
      </c>
      <c r="AS304" s="92">
        <v>7</v>
      </c>
      <c r="AT304" s="92">
        <v>2</v>
      </c>
      <c r="AU304" s="92">
        <v>10</v>
      </c>
      <c r="AV304" s="99" t="s">
        <v>878</v>
      </c>
      <c r="AW304" s="1" t="s">
        <v>37</v>
      </c>
      <c r="AX304" s="1" t="s">
        <v>37</v>
      </c>
    </row>
    <row r="305" spans="40:50" x14ac:dyDescent="0.25">
      <c r="AN305" s="1" t="s">
        <v>263</v>
      </c>
      <c r="AO305" s="5" t="s">
        <v>35</v>
      </c>
      <c r="AP305" s="1">
        <v>1</v>
      </c>
      <c r="AQ305" s="2">
        <v>430000</v>
      </c>
      <c r="AR305" s="1">
        <v>6</v>
      </c>
      <c r="AS305" s="1">
        <v>6</v>
      </c>
      <c r="AT305" s="1">
        <v>3</v>
      </c>
      <c r="AU305" s="1">
        <v>10</v>
      </c>
      <c r="AV305" s="5" t="s">
        <v>151</v>
      </c>
      <c r="AW305" s="1" t="s">
        <v>37</v>
      </c>
      <c r="AX305" s="1" t="s">
        <v>37</v>
      </c>
    </row>
    <row r="306" spans="40:50" x14ac:dyDescent="0.25">
      <c r="AN306" s="1" t="s">
        <v>265</v>
      </c>
      <c r="AO306" s="99"/>
      <c r="AP306" s="92"/>
      <c r="AQ306" s="100"/>
      <c r="AR306" s="92"/>
      <c r="AS306" s="92"/>
      <c r="AT306" s="92"/>
      <c r="AU306" s="92"/>
      <c r="AV306" s="99"/>
      <c r="AW306" s="1"/>
      <c r="AX306" s="1"/>
    </row>
    <row r="307" spans="40:50" x14ac:dyDescent="0.25">
      <c r="AN307" s="1" t="s">
        <v>265</v>
      </c>
      <c r="AO307" s="5" t="s">
        <v>196</v>
      </c>
      <c r="AP307" s="1">
        <v>16</v>
      </c>
      <c r="AQ307" s="2">
        <v>40000</v>
      </c>
      <c r="AR307" s="1">
        <v>5</v>
      </c>
      <c r="AS307" s="1">
        <v>3</v>
      </c>
      <c r="AT307" s="1">
        <v>3</v>
      </c>
      <c r="AU307" s="1">
        <v>8</v>
      </c>
      <c r="AV307" t="s">
        <v>241</v>
      </c>
      <c r="AW307" s="1" t="s">
        <v>282</v>
      </c>
      <c r="AX307" s="1" t="s">
        <v>26</v>
      </c>
    </row>
    <row r="308" spans="40:50" x14ac:dyDescent="0.25">
      <c r="AN308" s="1" t="s">
        <v>265</v>
      </c>
      <c r="AO308" s="5" t="s">
        <v>197</v>
      </c>
      <c r="AP308" s="1">
        <v>4</v>
      </c>
      <c r="AQ308" s="2">
        <v>80000</v>
      </c>
      <c r="AR308" s="1">
        <v>6</v>
      </c>
      <c r="AS308" s="1">
        <v>3</v>
      </c>
      <c r="AT308" s="1">
        <v>3</v>
      </c>
      <c r="AU308" s="1">
        <v>8</v>
      </c>
      <c r="AV308" t="s">
        <v>242</v>
      </c>
      <c r="AW308" s="1" t="s">
        <v>40</v>
      </c>
      <c r="AX308" s="1" t="s">
        <v>29</v>
      </c>
    </row>
    <row r="309" spans="40:50" x14ac:dyDescent="0.25">
      <c r="AN309" s="1" t="s">
        <v>265</v>
      </c>
      <c r="AO309" s="5" t="s">
        <v>198</v>
      </c>
      <c r="AP309" s="1">
        <v>4</v>
      </c>
      <c r="AQ309" s="2">
        <v>110000</v>
      </c>
      <c r="AR309" s="1">
        <v>4</v>
      </c>
      <c r="AS309" s="1">
        <v>4</v>
      </c>
      <c r="AT309" s="1">
        <v>2</v>
      </c>
      <c r="AU309" s="1">
        <v>9</v>
      </c>
      <c r="AV309" t="s">
        <v>318</v>
      </c>
      <c r="AW309" s="1" t="s">
        <v>40</v>
      </c>
      <c r="AX309" s="1" t="s">
        <v>29</v>
      </c>
    </row>
    <row r="310" spans="40:50" x14ac:dyDescent="0.25">
      <c r="AN310" s="1" t="s">
        <v>265</v>
      </c>
      <c r="AO310" s="5" t="s">
        <v>199</v>
      </c>
      <c r="AP310" s="1">
        <v>1</v>
      </c>
      <c r="AQ310" s="2">
        <v>140000</v>
      </c>
      <c r="AR310" s="1">
        <v>4</v>
      </c>
      <c r="AS310" s="1">
        <v>5</v>
      </c>
      <c r="AT310" s="1">
        <v>1</v>
      </c>
      <c r="AU310" s="1">
        <v>9</v>
      </c>
      <c r="AV310" t="s">
        <v>319</v>
      </c>
      <c r="AW310" s="1" t="s">
        <v>61</v>
      </c>
      <c r="AX310" s="1" t="s">
        <v>62</v>
      </c>
    </row>
    <row r="311" spans="40:50" x14ac:dyDescent="0.25">
      <c r="AN311" s="1" t="s">
        <v>265</v>
      </c>
      <c r="AO311" s="5" t="s">
        <v>46</v>
      </c>
      <c r="AP311" s="1">
        <v>11</v>
      </c>
      <c r="AQ311" s="2">
        <v>40000</v>
      </c>
      <c r="AR311" s="1">
        <v>5</v>
      </c>
      <c r="AS311" s="1">
        <v>3</v>
      </c>
      <c r="AT311" s="1">
        <v>3</v>
      </c>
      <c r="AU311" s="1">
        <v>8</v>
      </c>
      <c r="AV311" t="s">
        <v>320</v>
      </c>
      <c r="AW311" s="1" t="s">
        <v>282</v>
      </c>
      <c r="AX311" s="1" t="s">
        <v>26</v>
      </c>
    </row>
    <row r="312" spans="40:50" x14ac:dyDescent="0.25">
      <c r="AN312" s="1" t="s">
        <v>265</v>
      </c>
      <c r="AO312" s="5" t="s">
        <v>745</v>
      </c>
      <c r="AP312" s="1">
        <v>1</v>
      </c>
      <c r="AQ312" s="2">
        <v>110000</v>
      </c>
      <c r="AR312" s="1">
        <v>3</v>
      </c>
      <c r="AS312" s="1">
        <v>7</v>
      </c>
      <c r="AT312" s="1">
        <v>2</v>
      </c>
      <c r="AU312" s="1">
        <v>9</v>
      </c>
      <c r="AV312" t="s">
        <v>746</v>
      </c>
      <c r="AW312" s="1" t="s">
        <v>37</v>
      </c>
      <c r="AX312" s="1" t="s">
        <v>37</v>
      </c>
    </row>
    <row r="313" spans="40:50" x14ac:dyDescent="0.25">
      <c r="AN313" s="1" t="s">
        <v>265</v>
      </c>
      <c r="AO313" s="5" t="s">
        <v>47</v>
      </c>
      <c r="AP313" s="1">
        <v>1</v>
      </c>
      <c r="AQ313" s="2">
        <v>130000</v>
      </c>
      <c r="AR313" s="1">
        <v>5</v>
      </c>
      <c r="AS313" s="1">
        <v>4</v>
      </c>
      <c r="AT313" s="1">
        <v>3</v>
      </c>
      <c r="AU313" s="1">
        <v>8</v>
      </c>
      <c r="AV313" s="5" t="s">
        <v>149</v>
      </c>
      <c r="AW313" s="1" t="s">
        <v>37</v>
      </c>
      <c r="AX313" s="1" t="s">
        <v>37</v>
      </c>
    </row>
    <row r="314" spans="40:50" x14ac:dyDescent="0.25">
      <c r="AN314" s="1" t="s">
        <v>265</v>
      </c>
      <c r="AO314" s="5" t="s">
        <v>48</v>
      </c>
      <c r="AP314" s="1">
        <v>1</v>
      </c>
      <c r="AQ314" s="2">
        <v>160000</v>
      </c>
      <c r="AR314" s="1">
        <v>6</v>
      </c>
      <c r="AS314" s="1">
        <v>3</v>
      </c>
      <c r="AT314" s="1">
        <v>3</v>
      </c>
      <c r="AU314" s="1">
        <v>9</v>
      </c>
      <c r="AV314" s="5" t="s">
        <v>702</v>
      </c>
      <c r="AW314" s="1" t="s">
        <v>37</v>
      </c>
      <c r="AX314" s="1" t="s">
        <v>37</v>
      </c>
    </row>
    <row r="315" spans="40:50" x14ac:dyDescent="0.25">
      <c r="AN315" s="1" t="s">
        <v>265</v>
      </c>
      <c r="AO315" s="99" t="s">
        <v>703</v>
      </c>
      <c r="AP315" s="1">
        <v>1</v>
      </c>
      <c r="AQ315" s="100">
        <v>170000</v>
      </c>
      <c r="AR315" s="1">
        <v>6</v>
      </c>
      <c r="AS315" s="1">
        <v>3</v>
      </c>
      <c r="AT315" s="1">
        <v>3</v>
      </c>
      <c r="AU315" s="1">
        <v>8</v>
      </c>
      <c r="AV315" s="99" t="s">
        <v>704</v>
      </c>
      <c r="AW315" s="1" t="s">
        <v>37</v>
      </c>
      <c r="AX315" s="1" t="s">
        <v>37</v>
      </c>
    </row>
    <row r="316" spans="40:50" x14ac:dyDescent="0.25">
      <c r="AN316" s="1" t="s">
        <v>265</v>
      </c>
      <c r="AO316" s="99" t="s">
        <v>691</v>
      </c>
      <c r="AP316" s="92">
        <v>1</v>
      </c>
      <c r="AQ316" s="100">
        <v>180000</v>
      </c>
      <c r="AR316" s="92">
        <v>4</v>
      </c>
      <c r="AS316" s="92">
        <v>5</v>
      </c>
      <c r="AT316" s="92">
        <v>2</v>
      </c>
      <c r="AU316" s="92">
        <v>9</v>
      </c>
      <c r="AV316" s="99" t="s">
        <v>692</v>
      </c>
      <c r="AW316" s="1" t="s">
        <v>37</v>
      </c>
      <c r="AX316" s="1" t="s">
        <v>37</v>
      </c>
    </row>
    <row r="317" spans="40:50" x14ac:dyDescent="0.25">
      <c r="AN317" s="1" t="s">
        <v>265</v>
      </c>
      <c r="AO317" s="5" t="s">
        <v>127</v>
      </c>
      <c r="AP317" s="1">
        <v>1</v>
      </c>
      <c r="AQ317" s="2">
        <v>210000</v>
      </c>
      <c r="AR317" s="1">
        <v>5</v>
      </c>
      <c r="AS317" s="1">
        <v>3</v>
      </c>
      <c r="AT317" s="1">
        <v>4</v>
      </c>
      <c r="AU317" s="1">
        <v>9</v>
      </c>
      <c r="AV317" s="5" t="s">
        <v>172</v>
      </c>
      <c r="AW317" s="1" t="s">
        <v>37</v>
      </c>
      <c r="AX317" s="1" t="s">
        <v>37</v>
      </c>
    </row>
    <row r="318" spans="40:50" x14ac:dyDescent="0.25">
      <c r="AN318" s="1" t="s">
        <v>265</v>
      </c>
      <c r="AO318" s="5" t="s">
        <v>743</v>
      </c>
      <c r="AP318" s="1">
        <v>1</v>
      </c>
      <c r="AQ318" s="2">
        <v>230000</v>
      </c>
      <c r="AR318" s="1">
        <v>6</v>
      </c>
      <c r="AS318" s="1">
        <v>3</v>
      </c>
      <c r="AT318" s="1">
        <v>3</v>
      </c>
      <c r="AU318" s="1">
        <v>8</v>
      </c>
      <c r="AV318" t="s">
        <v>744</v>
      </c>
      <c r="AW318" s="1" t="s">
        <v>37</v>
      </c>
      <c r="AX318" s="1" t="s">
        <v>37</v>
      </c>
    </row>
    <row r="319" spans="40:50" x14ac:dyDescent="0.25">
      <c r="AN319" s="1" t="s">
        <v>265</v>
      </c>
      <c r="AO319" s="5" t="s">
        <v>49</v>
      </c>
      <c r="AP319" s="1">
        <v>1</v>
      </c>
      <c r="AQ319" s="2">
        <v>290000</v>
      </c>
      <c r="AR319" s="1">
        <v>5</v>
      </c>
      <c r="AS319" s="1">
        <v>5</v>
      </c>
      <c r="AT319" s="1">
        <v>2</v>
      </c>
      <c r="AU319" s="1">
        <v>9</v>
      </c>
      <c r="AV319" s="5" t="s">
        <v>89</v>
      </c>
      <c r="AW319" s="1" t="s">
        <v>37</v>
      </c>
      <c r="AX319" s="1" t="s">
        <v>37</v>
      </c>
    </row>
    <row r="320" spans="40:50" x14ac:dyDescent="0.25">
      <c r="AN320" s="1" t="s">
        <v>265</v>
      </c>
      <c r="AO320" s="5" t="s">
        <v>50</v>
      </c>
      <c r="AP320" s="1">
        <v>1</v>
      </c>
      <c r="AQ320" s="2" t="s">
        <v>37</v>
      </c>
      <c r="AR320" s="1">
        <v>6</v>
      </c>
      <c r="AS320" s="1">
        <v>2</v>
      </c>
      <c r="AT320" s="1">
        <v>4</v>
      </c>
      <c r="AU320" s="1">
        <v>7</v>
      </c>
      <c r="AV320" s="5" t="s">
        <v>90</v>
      </c>
      <c r="AW320" s="1" t="s">
        <v>37</v>
      </c>
      <c r="AX320" s="1" t="s">
        <v>37</v>
      </c>
    </row>
    <row r="321" spans="40:50" x14ac:dyDescent="0.25">
      <c r="AN321" s="1" t="s">
        <v>265</v>
      </c>
      <c r="AO321" s="5" t="s">
        <v>51</v>
      </c>
      <c r="AP321" s="1">
        <v>1</v>
      </c>
      <c r="AQ321" s="2">
        <v>300000</v>
      </c>
      <c r="AR321" s="1">
        <v>5</v>
      </c>
      <c r="AS321" s="1">
        <v>5</v>
      </c>
      <c r="AT321" s="1">
        <v>3</v>
      </c>
      <c r="AU321" s="1">
        <v>9</v>
      </c>
      <c r="AV321" s="5" t="s">
        <v>546</v>
      </c>
      <c r="AW321" s="1" t="s">
        <v>37</v>
      </c>
      <c r="AX321" s="1" t="s">
        <v>37</v>
      </c>
    </row>
    <row r="322" spans="40:50" x14ac:dyDescent="0.25">
      <c r="AN322" s="1" t="s">
        <v>265</v>
      </c>
      <c r="AO322" s="5" t="s">
        <v>52</v>
      </c>
      <c r="AP322" s="1">
        <v>1</v>
      </c>
      <c r="AQ322" s="2">
        <v>310000</v>
      </c>
      <c r="AR322" s="1">
        <v>6</v>
      </c>
      <c r="AS322" s="1">
        <v>6</v>
      </c>
      <c r="AT322" s="1">
        <v>2</v>
      </c>
      <c r="AU322" s="1">
        <v>8</v>
      </c>
      <c r="AV322" s="5" t="s">
        <v>133</v>
      </c>
      <c r="AW322" s="1" t="s">
        <v>37</v>
      </c>
      <c r="AX322" s="1" t="s">
        <v>37</v>
      </c>
    </row>
    <row r="323" spans="40:50" x14ac:dyDescent="0.25">
      <c r="AN323" s="1" t="s">
        <v>265</v>
      </c>
      <c r="AO323" s="99" t="s">
        <v>867</v>
      </c>
      <c r="AP323" s="92">
        <v>1</v>
      </c>
      <c r="AQ323" s="100">
        <v>380000</v>
      </c>
      <c r="AR323" s="92">
        <v>5</v>
      </c>
      <c r="AS323" s="92">
        <v>6</v>
      </c>
      <c r="AT323" s="92">
        <v>2</v>
      </c>
      <c r="AU323" s="92">
        <v>10</v>
      </c>
      <c r="AV323" s="99" t="s">
        <v>864</v>
      </c>
      <c r="AW323" s="1" t="s">
        <v>37</v>
      </c>
      <c r="AX323" s="1" t="s">
        <v>37</v>
      </c>
    </row>
    <row r="324" spans="40:50" x14ac:dyDescent="0.25">
      <c r="AN324" s="1" t="s">
        <v>265</v>
      </c>
      <c r="AO324" s="99" t="s">
        <v>877</v>
      </c>
      <c r="AP324" s="92">
        <v>16</v>
      </c>
      <c r="AQ324" s="100">
        <v>400000</v>
      </c>
      <c r="AR324" s="92">
        <v>6</v>
      </c>
      <c r="AS324" s="92">
        <v>7</v>
      </c>
      <c r="AT324" s="92">
        <v>2</v>
      </c>
      <c r="AU324" s="92">
        <v>10</v>
      </c>
      <c r="AV324" s="99" t="s">
        <v>878</v>
      </c>
      <c r="AW324" s="1" t="s">
        <v>37</v>
      </c>
      <c r="AX324" s="1" t="s">
        <v>37</v>
      </c>
    </row>
    <row r="325" spans="40:50" x14ac:dyDescent="0.25">
      <c r="AN325" s="1" t="s">
        <v>265</v>
      </c>
      <c r="AO325" s="5" t="s">
        <v>35</v>
      </c>
      <c r="AP325" s="1">
        <v>1</v>
      </c>
      <c r="AQ325" s="2">
        <v>430000</v>
      </c>
      <c r="AR325" s="1">
        <v>6</v>
      </c>
      <c r="AS325" s="1">
        <v>6</v>
      </c>
      <c r="AT325" s="1">
        <v>3</v>
      </c>
      <c r="AU325" s="1">
        <v>10</v>
      </c>
      <c r="AV325" s="5" t="s">
        <v>151</v>
      </c>
      <c r="AW325" s="1" t="s">
        <v>37</v>
      </c>
      <c r="AX325" s="1" t="s">
        <v>37</v>
      </c>
    </row>
    <row r="326" spans="40:50" x14ac:dyDescent="0.25">
      <c r="AN326" s="1" t="s">
        <v>185</v>
      </c>
      <c r="AO326" s="5"/>
      <c r="AP326" s="1"/>
      <c r="AQ326" s="2"/>
      <c r="AR326" s="1"/>
      <c r="AS326" s="1"/>
      <c r="AT326" s="1"/>
      <c r="AU326" s="1"/>
      <c r="AV326"/>
      <c r="AW326" s="1"/>
      <c r="AX326" s="1"/>
    </row>
    <row r="327" spans="40:50" x14ac:dyDescent="0.25">
      <c r="AN327" s="1" t="s">
        <v>185</v>
      </c>
      <c r="AO327" s="5" t="s">
        <v>883</v>
      </c>
      <c r="AP327" s="1">
        <v>16</v>
      </c>
      <c r="AQ327" s="2">
        <v>20000</v>
      </c>
      <c r="AR327" s="1">
        <v>5</v>
      </c>
      <c r="AS327" s="1">
        <v>1</v>
      </c>
      <c r="AT327" s="1">
        <v>3</v>
      </c>
      <c r="AU327" s="1">
        <v>5</v>
      </c>
      <c r="AV327" t="s">
        <v>859</v>
      </c>
      <c r="AW327" s="1" t="s">
        <v>85</v>
      </c>
      <c r="AX327" s="1" t="s">
        <v>284</v>
      </c>
    </row>
    <row r="328" spans="40:50" x14ac:dyDescent="0.25">
      <c r="AN328" s="1" t="s">
        <v>185</v>
      </c>
      <c r="AO328" s="5" t="s">
        <v>200</v>
      </c>
      <c r="AP328" s="1">
        <v>5</v>
      </c>
      <c r="AQ328" s="2">
        <v>140000</v>
      </c>
      <c r="AR328" s="1">
        <v>5</v>
      </c>
      <c r="AS328" s="1">
        <v>5</v>
      </c>
      <c r="AT328" s="1">
        <v>2</v>
      </c>
      <c r="AU328" s="1">
        <v>9</v>
      </c>
      <c r="AV328" t="s">
        <v>321</v>
      </c>
      <c r="AW328" s="1" t="s">
        <v>61</v>
      </c>
      <c r="AX328" s="1" t="s">
        <v>45</v>
      </c>
    </row>
    <row r="329" spans="40:50" x14ac:dyDescent="0.25">
      <c r="AN329" s="1" t="s">
        <v>185</v>
      </c>
      <c r="AO329" s="99" t="s">
        <v>860</v>
      </c>
      <c r="AP329" s="92">
        <v>1</v>
      </c>
      <c r="AQ329" s="100">
        <v>150000</v>
      </c>
      <c r="AR329" s="1">
        <v>5</v>
      </c>
      <c r="AS329" s="1">
        <v>5</v>
      </c>
      <c r="AT329" s="1">
        <v>2</v>
      </c>
      <c r="AU329" s="1">
        <v>9</v>
      </c>
      <c r="AV329" t="s">
        <v>861</v>
      </c>
      <c r="AW329" s="1" t="s">
        <v>61</v>
      </c>
      <c r="AX329" s="1" t="s">
        <v>45</v>
      </c>
    </row>
    <row r="330" spans="40:50" x14ac:dyDescent="0.25">
      <c r="AN330" s="1" t="s">
        <v>185</v>
      </c>
      <c r="AO330" s="5" t="s">
        <v>46</v>
      </c>
      <c r="AP330" s="1">
        <v>11</v>
      </c>
      <c r="AQ330" s="2">
        <v>20000</v>
      </c>
      <c r="AR330" s="1">
        <v>5</v>
      </c>
      <c r="AS330" s="1">
        <v>1</v>
      </c>
      <c r="AT330" s="1">
        <v>3</v>
      </c>
      <c r="AU330" s="1">
        <v>5</v>
      </c>
      <c r="AV330" t="s">
        <v>881</v>
      </c>
      <c r="AW330" s="1" t="s">
        <v>85</v>
      </c>
      <c r="AX330" s="1" t="s">
        <v>284</v>
      </c>
    </row>
    <row r="331" spans="40:50" x14ac:dyDescent="0.25">
      <c r="AN331" s="1" t="s">
        <v>185</v>
      </c>
      <c r="AO331" s="5" t="s">
        <v>91</v>
      </c>
      <c r="AP331" s="1">
        <v>1</v>
      </c>
      <c r="AQ331" s="2">
        <v>60000</v>
      </c>
      <c r="AR331" s="1">
        <v>6</v>
      </c>
      <c r="AS331" s="1">
        <v>2</v>
      </c>
      <c r="AT331" s="1">
        <v>3</v>
      </c>
      <c r="AU331" s="1">
        <v>7</v>
      </c>
      <c r="AV331" s="5" t="s">
        <v>92</v>
      </c>
      <c r="AW331" s="1" t="s">
        <v>37</v>
      </c>
      <c r="AX331" s="1" t="s">
        <v>37</v>
      </c>
    </row>
    <row r="332" spans="40:50" x14ac:dyDescent="0.25">
      <c r="AN332" s="1" t="s">
        <v>185</v>
      </c>
      <c r="AO332" s="5" t="s">
        <v>787</v>
      </c>
      <c r="AP332" s="1">
        <v>1</v>
      </c>
      <c r="AQ332" s="2">
        <v>120000</v>
      </c>
      <c r="AR332" s="1">
        <v>4</v>
      </c>
      <c r="AS332" s="1">
        <v>3</v>
      </c>
      <c r="AT332" s="1">
        <v>2</v>
      </c>
      <c r="AU332" s="1">
        <v>8</v>
      </c>
      <c r="AV332" t="s">
        <v>792</v>
      </c>
      <c r="AW332" s="1" t="s">
        <v>37</v>
      </c>
      <c r="AX332" s="1" t="s">
        <v>37</v>
      </c>
    </row>
    <row r="333" spans="40:50" x14ac:dyDescent="0.25">
      <c r="AN333" s="1" t="s">
        <v>185</v>
      </c>
      <c r="AO333" s="5" t="s">
        <v>67</v>
      </c>
      <c r="AP333" s="1">
        <v>1</v>
      </c>
      <c r="AQ333" s="2">
        <v>130000</v>
      </c>
      <c r="AR333" s="1">
        <v>6</v>
      </c>
      <c r="AS333" s="1">
        <v>2</v>
      </c>
      <c r="AT333" s="1">
        <v>3</v>
      </c>
      <c r="AU333" s="1">
        <v>7</v>
      </c>
      <c r="AV333" s="5" t="s">
        <v>152</v>
      </c>
      <c r="AW333" s="1" t="s">
        <v>37</v>
      </c>
      <c r="AX333" s="1" t="s">
        <v>37</v>
      </c>
    </row>
    <row r="334" spans="40:50" x14ac:dyDescent="0.25">
      <c r="AN334" s="1" t="s">
        <v>185</v>
      </c>
      <c r="AO334" s="5" t="s">
        <v>120</v>
      </c>
      <c r="AP334" s="1">
        <v>1</v>
      </c>
      <c r="AQ334" s="2">
        <v>150000</v>
      </c>
      <c r="AR334" s="1">
        <v>7</v>
      </c>
      <c r="AS334" s="1">
        <v>2</v>
      </c>
      <c r="AT334" s="1">
        <v>3</v>
      </c>
      <c r="AU334" s="1">
        <v>7</v>
      </c>
      <c r="AV334" s="5" t="s">
        <v>620</v>
      </c>
      <c r="AW334" s="1" t="s">
        <v>37</v>
      </c>
      <c r="AX334" s="1" t="s">
        <v>37</v>
      </c>
    </row>
    <row r="335" spans="40:50" x14ac:dyDescent="0.25">
      <c r="AN335" s="1" t="s">
        <v>185</v>
      </c>
      <c r="AO335" s="5" t="s">
        <v>34</v>
      </c>
      <c r="AP335" s="1">
        <v>1</v>
      </c>
      <c r="AQ335" s="2">
        <v>290000</v>
      </c>
      <c r="AR335" s="1">
        <v>6</v>
      </c>
      <c r="AS335" s="1">
        <v>5</v>
      </c>
      <c r="AT335" s="1">
        <v>2</v>
      </c>
      <c r="AU335" s="1">
        <v>9</v>
      </c>
      <c r="AV335" s="5" t="s">
        <v>88</v>
      </c>
      <c r="AW335" s="1" t="s">
        <v>37</v>
      </c>
      <c r="AX335" s="1" t="s">
        <v>37</v>
      </c>
    </row>
    <row r="336" spans="40:50" x14ac:dyDescent="0.25">
      <c r="AN336" s="1" t="s">
        <v>185</v>
      </c>
      <c r="AO336" s="5" t="s">
        <v>49</v>
      </c>
      <c r="AP336" s="1">
        <v>1</v>
      </c>
      <c r="AQ336" s="2">
        <v>290000</v>
      </c>
      <c r="AR336" s="1">
        <v>5</v>
      </c>
      <c r="AS336" s="1">
        <v>5</v>
      </c>
      <c r="AT336" s="1">
        <v>2</v>
      </c>
      <c r="AU336" s="1">
        <v>9</v>
      </c>
      <c r="AV336" s="5" t="s">
        <v>89</v>
      </c>
      <c r="AW336" s="1" t="s">
        <v>37</v>
      </c>
      <c r="AX336" s="1" t="s">
        <v>37</v>
      </c>
    </row>
    <row r="337" spans="40:50" x14ac:dyDescent="0.25">
      <c r="AN337" s="1" t="s">
        <v>185</v>
      </c>
      <c r="AO337" s="5" t="s">
        <v>50</v>
      </c>
      <c r="AP337" s="1">
        <v>1</v>
      </c>
      <c r="AQ337" s="2" t="s">
        <v>37</v>
      </c>
      <c r="AR337" s="1">
        <v>6</v>
      </c>
      <c r="AS337" s="1">
        <v>2</v>
      </c>
      <c r="AT337" s="1">
        <v>4</v>
      </c>
      <c r="AU337" s="1">
        <v>7</v>
      </c>
      <c r="AV337" s="5" t="s">
        <v>90</v>
      </c>
      <c r="AW337" s="1" t="s">
        <v>37</v>
      </c>
      <c r="AX337" s="1" t="s">
        <v>37</v>
      </c>
    </row>
    <row r="338" spans="40:50" x14ac:dyDescent="0.25">
      <c r="AN338" s="1" t="s">
        <v>185</v>
      </c>
      <c r="AO338" s="99" t="s">
        <v>867</v>
      </c>
      <c r="AP338" s="92">
        <v>1</v>
      </c>
      <c r="AQ338" s="100">
        <v>380000</v>
      </c>
      <c r="AR338" s="92">
        <v>5</v>
      </c>
      <c r="AS338" s="92">
        <v>6</v>
      </c>
      <c r="AT338" s="92">
        <v>2</v>
      </c>
      <c r="AU338" s="92">
        <v>10</v>
      </c>
      <c r="AV338" s="99" t="s">
        <v>864</v>
      </c>
      <c r="AW338" s="1" t="s">
        <v>37</v>
      </c>
      <c r="AX338" s="1" t="s">
        <v>37</v>
      </c>
    </row>
    <row r="339" spans="40:50" x14ac:dyDescent="0.25">
      <c r="AN339" s="1" t="s">
        <v>185</v>
      </c>
      <c r="AO339" s="99" t="s">
        <v>877</v>
      </c>
      <c r="AP339" s="92">
        <v>16</v>
      </c>
      <c r="AQ339" s="100">
        <v>400000</v>
      </c>
      <c r="AR339" s="92">
        <v>6</v>
      </c>
      <c r="AS339" s="92">
        <v>7</v>
      </c>
      <c r="AT339" s="92">
        <v>2</v>
      </c>
      <c r="AU339" s="92">
        <v>10</v>
      </c>
      <c r="AV339" s="99" t="s">
        <v>878</v>
      </c>
      <c r="AW339" s="1" t="s">
        <v>37</v>
      </c>
      <c r="AX339" s="1" t="s">
        <v>37</v>
      </c>
    </row>
    <row r="340" spans="40:50" x14ac:dyDescent="0.25">
      <c r="AN340" s="1" t="s">
        <v>185</v>
      </c>
      <c r="AO340" s="5" t="s">
        <v>35</v>
      </c>
      <c r="AP340" s="1">
        <v>1</v>
      </c>
      <c r="AQ340" s="2">
        <v>430000</v>
      </c>
      <c r="AR340" s="1">
        <v>6</v>
      </c>
      <c r="AS340" s="1">
        <v>6</v>
      </c>
      <c r="AT340" s="1">
        <v>3</v>
      </c>
      <c r="AU340" s="1">
        <v>10</v>
      </c>
      <c r="AV340" s="5" t="s">
        <v>151</v>
      </c>
      <c r="AW340" s="1" t="s">
        <v>37</v>
      </c>
      <c r="AX340" s="1" t="s">
        <v>37</v>
      </c>
    </row>
    <row r="341" spans="40:50" x14ac:dyDescent="0.25">
      <c r="AN341" s="1" t="s">
        <v>266</v>
      </c>
      <c r="AO341" s="5"/>
      <c r="AP341" s="1"/>
      <c r="AQ341" s="2"/>
      <c r="AR341" s="1"/>
      <c r="AS341" s="1"/>
      <c r="AT341" s="1"/>
      <c r="AU341" s="1"/>
      <c r="AV341"/>
      <c r="AW341" s="1"/>
      <c r="AX341" s="1"/>
    </row>
    <row r="342" spans="40:50" x14ac:dyDescent="0.25">
      <c r="AN342" s="1" t="s">
        <v>266</v>
      </c>
      <c r="AO342" s="5" t="s">
        <v>70</v>
      </c>
      <c r="AP342" s="1">
        <v>16</v>
      </c>
      <c r="AQ342" s="2">
        <v>50000</v>
      </c>
      <c r="AR342" s="1">
        <v>5</v>
      </c>
      <c r="AS342" s="1">
        <v>3</v>
      </c>
      <c r="AT342" s="1">
        <v>3</v>
      </c>
      <c r="AU342" s="1">
        <v>9</v>
      </c>
      <c r="AV342" t="s">
        <v>647</v>
      </c>
      <c r="AW342" s="1" t="s">
        <v>22</v>
      </c>
      <c r="AX342" s="1" t="s">
        <v>26</v>
      </c>
    </row>
    <row r="343" spans="40:50" x14ac:dyDescent="0.25">
      <c r="AN343" s="1" t="s">
        <v>266</v>
      </c>
      <c r="AO343" s="5" t="s">
        <v>201</v>
      </c>
      <c r="AP343" s="1">
        <v>4</v>
      </c>
      <c r="AQ343" s="2">
        <v>40000</v>
      </c>
      <c r="AR343" s="1">
        <v>6</v>
      </c>
      <c r="AS343" s="1">
        <v>2</v>
      </c>
      <c r="AT343" s="1">
        <v>3</v>
      </c>
      <c r="AU343" s="1">
        <v>7</v>
      </c>
      <c r="AV343" t="s">
        <v>301</v>
      </c>
      <c r="AW343" s="1" t="s">
        <v>85</v>
      </c>
      <c r="AX343" s="1" t="s">
        <v>284</v>
      </c>
    </row>
    <row r="344" spans="40:50" x14ac:dyDescent="0.25">
      <c r="AN344" s="1" t="s">
        <v>266</v>
      </c>
      <c r="AO344" s="5" t="s">
        <v>3</v>
      </c>
      <c r="AP344" s="1">
        <v>2</v>
      </c>
      <c r="AQ344" s="2">
        <v>70000</v>
      </c>
      <c r="AR344" s="1">
        <v>5</v>
      </c>
      <c r="AS344" s="1">
        <v>3</v>
      </c>
      <c r="AT344" s="1">
        <v>3</v>
      </c>
      <c r="AU344" s="1">
        <v>8</v>
      </c>
      <c r="AV344" t="s">
        <v>322</v>
      </c>
      <c r="AW344" s="1" t="s">
        <v>23</v>
      </c>
      <c r="AX344" s="1" t="s">
        <v>26</v>
      </c>
    </row>
    <row r="345" spans="40:50" x14ac:dyDescent="0.25">
      <c r="AN345" s="1" t="s">
        <v>266</v>
      </c>
      <c r="AO345" s="5" t="s">
        <v>202</v>
      </c>
      <c r="AP345" s="1">
        <v>4</v>
      </c>
      <c r="AQ345" s="2">
        <v>80000</v>
      </c>
      <c r="AR345" s="1">
        <v>4</v>
      </c>
      <c r="AS345" s="1">
        <v>4</v>
      </c>
      <c r="AT345" s="1">
        <v>2</v>
      </c>
      <c r="AU345" s="1">
        <v>9</v>
      </c>
      <c r="AV345" t="s">
        <v>647</v>
      </c>
      <c r="AW345" s="1" t="s">
        <v>25</v>
      </c>
      <c r="AX345" s="1" t="s">
        <v>29</v>
      </c>
    </row>
    <row r="346" spans="40:50" x14ac:dyDescent="0.25">
      <c r="AN346" s="1" t="s">
        <v>266</v>
      </c>
      <c r="AO346" s="5" t="s">
        <v>5</v>
      </c>
      <c r="AP346" s="1">
        <v>4</v>
      </c>
      <c r="AQ346" s="2">
        <v>80000</v>
      </c>
      <c r="AR346" s="1">
        <v>6</v>
      </c>
      <c r="AS346" s="1">
        <v>3</v>
      </c>
      <c r="AT346" s="1">
        <v>3</v>
      </c>
      <c r="AU346" s="1">
        <v>9</v>
      </c>
      <c r="AV346" t="s">
        <v>222</v>
      </c>
      <c r="AW346" s="1" t="s">
        <v>25</v>
      </c>
      <c r="AX346" s="1" t="s">
        <v>29</v>
      </c>
    </row>
    <row r="347" spans="40:50" x14ac:dyDescent="0.25">
      <c r="AN347" s="1" t="s">
        <v>266</v>
      </c>
      <c r="AO347" s="5" t="s">
        <v>203</v>
      </c>
      <c r="AP347" s="1">
        <v>1</v>
      </c>
      <c r="AQ347" s="2">
        <v>110000</v>
      </c>
      <c r="AR347" s="1">
        <v>4</v>
      </c>
      <c r="AS347" s="1">
        <v>5</v>
      </c>
      <c r="AT347" s="1">
        <v>1</v>
      </c>
      <c r="AU347" s="1">
        <v>9</v>
      </c>
      <c r="AV347" t="s">
        <v>229</v>
      </c>
      <c r="AW347" s="1" t="s">
        <v>61</v>
      </c>
      <c r="AX347" s="1" t="s">
        <v>45</v>
      </c>
    </row>
    <row r="348" spans="40:50" x14ac:dyDescent="0.25">
      <c r="AN348" s="1" t="s">
        <v>266</v>
      </c>
      <c r="AO348" s="5" t="s">
        <v>46</v>
      </c>
      <c r="AP348" s="1">
        <v>11</v>
      </c>
      <c r="AQ348" s="2">
        <v>50000</v>
      </c>
      <c r="AR348" s="1">
        <v>5</v>
      </c>
      <c r="AS348" s="1">
        <v>3</v>
      </c>
      <c r="AT348" s="1">
        <v>3</v>
      </c>
      <c r="AU348" s="1">
        <v>9</v>
      </c>
      <c r="AV348" t="s">
        <v>65</v>
      </c>
      <c r="AW348" s="1" t="s">
        <v>22</v>
      </c>
      <c r="AX348" s="1" t="s">
        <v>26</v>
      </c>
    </row>
    <row r="349" spans="40:50" x14ac:dyDescent="0.25">
      <c r="AN349" s="1" t="s">
        <v>266</v>
      </c>
      <c r="AO349" s="5" t="s">
        <v>91</v>
      </c>
      <c r="AP349" s="1">
        <v>1</v>
      </c>
      <c r="AQ349" s="2">
        <v>60000</v>
      </c>
      <c r="AR349" s="1">
        <v>6</v>
      </c>
      <c r="AS349" s="1">
        <v>2</v>
      </c>
      <c r="AT349" s="1">
        <v>3</v>
      </c>
      <c r="AU349" s="1">
        <v>7</v>
      </c>
      <c r="AV349" s="5" t="s">
        <v>92</v>
      </c>
      <c r="AW349" s="1" t="s">
        <v>37</v>
      </c>
      <c r="AX349" s="1" t="s">
        <v>37</v>
      </c>
    </row>
    <row r="350" spans="40:50" x14ac:dyDescent="0.25">
      <c r="AN350" s="1" t="s">
        <v>266</v>
      </c>
      <c r="AO350" s="5" t="s">
        <v>288</v>
      </c>
      <c r="AP350" s="1">
        <v>1</v>
      </c>
      <c r="AQ350" s="2">
        <v>100000</v>
      </c>
      <c r="AR350" s="1">
        <v>5</v>
      </c>
      <c r="AS350" s="1">
        <v>3</v>
      </c>
      <c r="AT350" s="1">
        <v>3</v>
      </c>
      <c r="AU350" s="1">
        <v>9</v>
      </c>
      <c r="AV350" s="5" t="s">
        <v>149</v>
      </c>
      <c r="AW350" s="1" t="s">
        <v>37</v>
      </c>
      <c r="AX350" s="1" t="s">
        <v>37</v>
      </c>
    </row>
    <row r="351" spans="40:50" x14ac:dyDescent="0.25">
      <c r="AN351" s="1" t="s">
        <v>266</v>
      </c>
      <c r="AO351" s="5" t="s">
        <v>120</v>
      </c>
      <c r="AP351" s="1">
        <v>1</v>
      </c>
      <c r="AQ351" s="2">
        <v>150000</v>
      </c>
      <c r="AR351" s="1">
        <v>7</v>
      </c>
      <c r="AS351" s="1">
        <v>2</v>
      </c>
      <c r="AT351" s="1">
        <v>3</v>
      </c>
      <c r="AU351" s="1">
        <v>7</v>
      </c>
      <c r="AV351" s="5" t="s">
        <v>620</v>
      </c>
      <c r="AW351" s="1" t="s">
        <v>37</v>
      </c>
      <c r="AX351" s="1" t="s">
        <v>37</v>
      </c>
    </row>
    <row r="352" spans="40:50" x14ac:dyDescent="0.25">
      <c r="AN352" s="1" t="s">
        <v>266</v>
      </c>
      <c r="AO352" s="5" t="s">
        <v>285</v>
      </c>
      <c r="AP352" s="1">
        <v>1</v>
      </c>
      <c r="AQ352" s="2">
        <v>270000</v>
      </c>
      <c r="AR352" s="1">
        <v>4</v>
      </c>
      <c r="AS352" s="1">
        <v>6</v>
      </c>
      <c r="AT352" s="1">
        <v>1</v>
      </c>
      <c r="AU352" s="1">
        <v>9</v>
      </c>
      <c r="AV352" s="5" t="s">
        <v>158</v>
      </c>
      <c r="AW352" s="1" t="s">
        <v>37</v>
      </c>
      <c r="AX352" s="1" t="s">
        <v>37</v>
      </c>
    </row>
    <row r="353" spans="40:50" x14ac:dyDescent="0.25">
      <c r="AN353" s="1" t="s">
        <v>266</v>
      </c>
      <c r="AO353" s="5" t="s">
        <v>124</v>
      </c>
      <c r="AP353" s="1">
        <v>1</v>
      </c>
      <c r="AQ353" s="2">
        <v>290000</v>
      </c>
      <c r="AR353" s="1">
        <v>6</v>
      </c>
      <c r="AS353" s="1">
        <v>4</v>
      </c>
      <c r="AT353" s="1">
        <v>3</v>
      </c>
      <c r="AU353" s="1">
        <v>9</v>
      </c>
      <c r="AV353" s="5" t="s">
        <v>165</v>
      </c>
      <c r="AW353" s="1" t="s">
        <v>37</v>
      </c>
      <c r="AX353" s="1" t="s">
        <v>37</v>
      </c>
    </row>
    <row r="354" spans="40:50" x14ac:dyDescent="0.25">
      <c r="AN354" s="1" t="s">
        <v>266</v>
      </c>
      <c r="AO354" s="99" t="s">
        <v>867</v>
      </c>
      <c r="AP354" s="92">
        <v>1</v>
      </c>
      <c r="AQ354" s="100">
        <v>380000</v>
      </c>
      <c r="AR354" s="92">
        <v>5</v>
      </c>
      <c r="AS354" s="92">
        <v>6</v>
      </c>
      <c r="AT354" s="92">
        <v>2</v>
      </c>
      <c r="AU354" s="92">
        <v>10</v>
      </c>
      <c r="AV354" s="99" t="s">
        <v>864</v>
      </c>
      <c r="AW354" s="1" t="s">
        <v>37</v>
      </c>
      <c r="AX354" s="1" t="s">
        <v>37</v>
      </c>
    </row>
    <row r="355" spans="40:50" x14ac:dyDescent="0.25">
      <c r="AN355" s="1" t="s">
        <v>266</v>
      </c>
      <c r="AO355" s="99" t="s">
        <v>877</v>
      </c>
      <c r="AP355" s="92">
        <v>16</v>
      </c>
      <c r="AQ355" s="100">
        <v>400000</v>
      </c>
      <c r="AR355" s="92">
        <v>6</v>
      </c>
      <c r="AS355" s="92">
        <v>7</v>
      </c>
      <c r="AT355" s="92">
        <v>2</v>
      </c>
      <c r="AU355" s="92">
        <v>10</v>
      </c>
      <c r="AV355" s="99" t="s">
        <v>878</v>
      </c>
      <c r="AW355" s="1" t="s">
        <v>37</v>
      </c>
      <c r="AX355" s="1" t="s">
        <v>37</v>
      </c>
    </row>
    <row r="356" spans="40:50" x14ac:dyDescent="0.25">
      <c r="AN356" s="1" t="s">
        <v>266</v>
      </c>
      <c r="AO356" s="5" t="s">
        <v>35</v>
      </c>
      <c r="AP356" s="1">
        <v>1</v>
      </c>
      <c r="AQ356" s="2">
        <v>430000</v>
      </c>
      <c r="AR356" s="1">
        <v>6</v>
      </c>
      <c r="AS356" s="1">
        <v>6</v>
      </c>
      <c r="AT356" s="1">
        <v>3</v>
      </c>
      <c r="AU356" s="1">
        <v>10</v>
      </c>
      <c r="AV356" s="5" t="s">
        <v>151</v>
      </c>
      <c r="AW356" s="1" t="s">
        <v>37</v>
      </c>
      <c r="AX356" s="1" t="s">
        <v>37</v>
      </c>
    </row>
    <row r="357" spans="40:50" x14ac:dyDescent="0.25">
      <c r="AN357" s="1" t="s">
        <v>343</v>
      </c>
      <c r="AO357" s="5"/>
      <c r="AP357" s="1"/>
      <c r="AQ357" s="2"/>
      <c r="AR357" s="1"/>
      <c r="AS357" s="1"/>
      <c r="AT357" s="1"/>
      <c r="AU357" s="1"/>
      <c r="AV357"/>
      <c r="AW357" s="1"/>
      <c r="AX357" s="1"/>
    </row>
    <row r="358" spans="40:50" x14ac:dyDescent="0.25">
      <c r="AN358" s="1" t="s">
        <v>343</v>
      </c>
      <c r="AO358" s="5" t="s">
        <v>344</v>
      </c>
      <c r="AP358" s="1">
        <v>12</v>
      </c>
      <c r="AQ358" s="2">
        <v>50000</v>
      </c>
      <c r="AR358" s="1">
        <v>6</v>
      </c>
      <c r="AS358" s="1">
        <v>3</v>
      </c>
      <c r="AT358" s="1">
        <v>3</v>
      </c>
      <c r="AU358" s="1">
        <v>7</v>
      </c>
      <c r="AV358" t="s">
        <v>349</v>
      </c>
      <c r="AW358" s="1" t="s">
        <v>22</v>
      </c>
      <c r="AX358" s="1" t="s">
        <v>26</v>
      </c>
    </row>
    <row r="359" spans="40:50" x14ac:dyDescent="0.25">
      <c r="AN359" s="1" t="s">
        <v>343</v>
      </c>
      <c r="AO359" s="5" t="s">
        <v>345</v>
      </c>
      <c r="AP359" s="1">
        <v>2</v>
      </c>
      <c r="AQ359" s="2">
        <v>70000</v>
      </c>
      <c r="AR359" s="1">
        <v>5</v>
      </c>
      <c r="AS359" s="1">
        <v>3</v>
      </c>
      <c r="AT359" s="1">
        <v>3</v>
      </c>
      <c r="AU359" s="1">
        <v>8</v>
      </c>
      <c r="AV359" t="s">
        <v>351</v>
      </c>
      <c r="AW359" s="1" t="s">
        <v>23</v>
      </c>
      <c r="AX359" s="1" t="s">
        <v>27</v>
      </c>
    </row>
    <row r="360" spans="40:50" x14ac:dyDescent="0.25">
      <c r="AN360" s="1" t="s">
        <v>343</v>
      </c>
      <c r="AO360" s="5" t="s">
        <v>346</v>
      </c>
      <c r="AP360" s="1">
        <v>2</v>
      </c>
      <c r="AQ360" s="2">
        <v>80000</v>
      </c>
      <c r="AR360" s="1">
        <v>7</v>
      </c>
      <c r="AS360" s="1">
        <v>3</v>
      </c>
      <c r="AT360" s="1">
        <v>3</v>
      </c>
      <c r="AU360" s="1">
        <v>7</v>
      </c>
      <c r="AV360" t="s">
        <v>352</v>
      </c>
      <c r="AW360" s="1" t="s">
        <v>24</v>
      </c>
      <c r="AX360" s="1" t="s">
        <v>28</v>
      </c>
    </row>
    <row r="361" spans="40:50" x14ac:dyDescent="0.25">
      <c r="AN361" s="1" t="s">
        <v>343</v>
      </c>
      <c r="AO361" s="5" t="s">
        <v>347</v>
      </c>
      <c r="AP361" s="1">
        <v>4</v>
      </c>
      <c r="AQ361" s="2">
        <v>100000</v>
      </c>
      <c r="AR361" s="1">
        <v>5</v>
      </c>
      <c r="AS361" s="1">
        <v>4</v>
      </c>
      <c r="AT361" s="1">
        <v>2</v>
      </c>
      <c r="AU361" s="1">
        <v>8</v>
      </c>
      <c r="AV361" t="s">
        <v>353</v>
      </c>
      <c r="AW361" s="1" t="s">
        <v>27</v>
      </c>
      <c r="AX361" s="1" t="s">
        <v>23</v>
      </c>
    </row>
    <row r="362" spans="40:50" x14ac:dyDescent="0.25">
      <c r="AN362" s="1" t="s">
        <v>343</v>
      </c>
      <c r="AO362" s="5" t="s">
        <v>348</v>
      </c>
      <c r="AP362" s="1">
        <v>1</v>
      </c>
      <c r="AQ362" s="2">
        <v>140000</v>
      </c>
      <c r="AR362" s="1">
        <v>5</v>
      </c>
      <c r="AS362" s="1">
        <v>5</v>
      </c>
      <c r="AT362" s="1">
        <v>1</v>
      </c>
      <c r="AU362" s="1">
        <v>9</v>
      </c>
      <c r="AV362" t="s">
        <v>354</v>
      </c>
      <c r="AW362" s="1" t="s">
        <v>61</v>
      </c>
      <c r="AX362" s="1" t="s">
        <v>45</v>
      </c>
    </row>
    <row r="363" spans="40:50" x14ac:dyDescent="0.25">
      <c r="AN363" s="1" t="s">
        <v>343</v>
      </c>
      <c r="AO363" s="5" t="s">
        <v>46</v>
      </c>
      <c r="AP363" s="1">
        <v>11</v>
      </c>
      <c r="AQ363" s="2">
        <v>50000</v>
      </c>
      <c r="AR363" s="1">
        <v>6</v>
      </c>
      <c r="AS363" s="1">
        <v>3</v>
      </c>
      <c r="AT363" s="1">
        <v>3</v>
      </c>
      <c r="AU363" s="1">
        <v>7</v>
      </c>
      <c r="AV363" t="s">
        <v>350</v>
      </c>
      <c r="AW363" s="1" t="s">
        <v>22</v>
      </c>
      <c r="AX363" s="1" t="s">
        <v>26</v>
      </c>
    </row>
    <row r="364" spans="40:50" x14ac:dyDescent="0.25">
      <c r="AN364" s="1" t="s">
        <v>343</v>
      </c>
      <c r="AO364" s="5" t="s">
        <v>30</v>
      </c>
      <c r="AP364" s="1">
        <v>1</v>
      </c>
      <c r="AQ364" s="2">
        <v>110000</v>
      </c>
      <c r="AR364" s="1">
        <v>6</v>
      </c>
      <c r="AS364" s="1">
        <v>3</v>
      </c>
      <c r="AT364" s="1">
        <v>3</v>
      </c>
      <c r="AU364" s="1">
        <v>8</v>
      </c>
      <c r="AV364" s="5" t="s">
        <v>138</v>
      </c>
      <c r="AW364" s="1" t="s">
        <v>37</v>
      </c>
      <c r="AX364" s="1" t="s">
        <v>37</v>
      </c>
    </row>
    <row r="365" spans="40:50" x14ac:dyDescent="0.25">
      <c r="AN365" s="1" t="s">
        <v>343</v>
      </c>
      <c r="AO365" s="5" t="s">
        <v>116</v>
      </c>
      <c r="AP365" s="1">
        <v>1</v>
      </c>
      <c r="AQ365" s="2">
        <v>260000</v>
      </c>
      <c r="AR365" s="1">
        <v>4</v>
      </c>
      <c r="AS365" s="1">
        <v>5</v>
      </c>
      <c r="AT365" s="1">
        <v>2</v>
      </c>
      <c r="AU365" s="1">
        <v>9</v>
      </c>
      <c r="AV365" s="5" t="s">
        <v>150</v>
      </c>
      <c r="AW365" s="1" t="s">
        <v>37</v>
      </c>
      <c r="AX365" s="1" t="s">
        <v>37</v>
      </c>
    </row>
    <row r="366" spans="40:50" x14ac:dyDescent="0.25">
      <c r="AN366" s="1" t="s">
        <v>343</v>
      </c>
      <c r="AO366" s="5" t="s">
        <v>107</v>
      </c>
      <c r="AP366" s="1">
        <v>1</v>
      </c>
      <c r="AQ366" s="2">
        <v>320000</v>
      </c>
      <c r="AR366" s="1">
        <v>7</v>
      </c>
      <c r="AS366" s="1">
        <v>4</v>
      </c>
      <c r="AT366" s="1">
        <v>4</v>
      </c>
      <c r="AU366" s="1">
        <v>8</v>
      </c>
      <c r="AV366" s="5" t="s">
        <v>531</v>
      </c>
      <c r="AW366" s="1" t="s">
        <v>37</v>
      </c>
      <c r="AX366" s="1" t="s">
        <v>37</v>
      </c>
    </row>
    <row r="367" spans="40:50" x14ac:dyDescent="0.25">
      <c r="AN367" s="1" t="s">
        <v>343</v>
      </c>
      <c r="AO367" s="99" t="s">
        <v>867</v>
      </c>
      <c r="AP367" s="92">
        <v>1</v>
      </c>
      <c r="AQ367" s="100">
        <v>380000</v>
      </c>
      <c r="AR367" s="92">
        <v>5</v>
      </c>
      <c r="AS367" s="92">
        <v>6</v>
      </c>
      <c r="AT367" s="92">
        <v>2</v>
      </c>
      <c r="AU367" s="92">
        <v>10</v>
      </c>
      <c r="AV367" s="99" t="s">
        <v>864</v>
      </c>
      <c r="AW367" s="1" t="s">
        <v>37</v>
      </c>
      <c r="AX367" s="1" t="s">
        <v>37</v>
      </c>
    </row>
    <row r="368" spans="40:50" x14ac:dyDescent="0.25">
      <c r="AN368" s="1" t="s">
        <v>343</v>
      </c>
      <c r="AO368" s="99" t="s">
        <v>877</v>
      </c>
      <c r="AP368" s="92">
        <v>16</v>
      </c>
      <c r="AQ368" s="100">
        <v>400000</v>
      </c>
      <c r="AR368" s="92">
        <v>6</v>
      </c>
      <c r="AS368" s="92">
        <v>7</v>
      </c>
      <c r="AT368" s="92">
        <v>2</v>
      </c>
      <c r="AU368" s="92">
        <v>10</v>
      </c>
      <c r="AV368" s="99" t="s">
        <v>878</v>
      </c>
      <c r="AW368" s="1" t="s">
        <v>37</v>
      </c>
      <c r="AX368" s="1" t="s">
        <v>37</v>
      </c>
    </row>
    <row r="369" spans="40:50" x14ac:dyDescent="0.25">
      <c r="AN369" s="1" t="s">
        <v>343</v>
      </c>
      <c r="AO369" s="5" t="s">
        <v>35</v>
      </c>
      <c r="AP369" s="1">
        <v>1</v>
      </c>
      <c r="AQ369" s="2">
        <v>430000</v>
      </c>
      <c r="AR369" s="1">
        <v>6</v>
      </c>
      <c r="AS369" s="1">
        <v>6</v>
      </c>
      <c r="AT369" s="1">
        <v>3</v>
      </c>
      <c r="AU369" s="1">
        <v>10</v>
      </c>
      <c r="AV369" s="5" t="s">
        <v>151</v>
      </c>
      <c r="AW369" s="1" t="s">
        <v>37</v>
      </c>
      <c r="AX369" s="1" t="s">
        <v>37</v>
      </c>
    </row>
    <row r="370" spans="40:50" x14ac:dyDescent="0.25">
      <c r="AN370" s="1" t="s">
        <v>272</v>
      </c>
      <c r="AO370" s="5"/>
      <c r="AP370" s="1"/>
      <c r="AQ370" s="2"/>
      <c r="AR370" s="1"/>
      <c r="AS370" s="1"/>
      <c r="AT370" s="1"/>
      <c r="AU370" s="1"/>
      <c r="AV370"/>
      <c r="AW370" s="1"/>
      <c r="AX370" s="1"/>
    </row>
    <row r="371" spans="40:50" x14ac:dyDescent="0.25">
      <c r="AN371" s="1" t="s">
        <v>272</v>
      </c>
      <c r="AO371" s="5" t="s">
        <v>70</v>
      </c>
      <c r="AP371" s="1">
        <v>16</v>
      </c>
      <c r="AQ371" s="2">
        <v>60000</v>
      </c>
      <c r="AR371" s="1">
        <v>6</v>
      </c>
      <c r="AS371" s="1">
        <v>3</v>
      </c>
      <c r="AT371" s="1">
        <v>3</v>
      </c>
      <c r="AU371" s="1">
        <v>8</v>
      </c>
      <c r="AV371" t="s">
        <v>247</v>
      </c>
      <c r="AW371" s="1" t="s">
        <v>22</v>
      </c>
      <c r="AX371" s="1" t="s">
        <v>26</v>
      </c>
    </row>
    <row r="372" spans="40:50" x14ac:dyDescent="0.25">
      <c r="AN372" s="1" t="s">
        <v>272</v>
      </c>
      <c r="AO372" s="5" t="s">
        <v>4</v>
      </c>
      <c r="AP372" s="1">
        <v>4</v>
      </c>
      <c r="AQ372" s="2">
        <v>80000</v>
      </c>
      <c r="AR372" s="1">
        <v>7</v>
      </c>
      <c r="AS372" s="1">
        <v>2</v>
      </c>
      <c r="AT372" s="1">
        <v>4</v>
      </c>
      <c r="AU372" s="1">
        <v>7</v>
      </c>
      <c r="AV372" t="s">
        <v>248</v>
      </c>
      <c r="AW372" s="1" t="s">
        <v>24</v>
      </c>
      <c r="AX372" s="1" t="s">
        <v>28</v>
      </c>
    </row>
    <row r="373" spans="40:50" x14ac:dyDescent="0.25">
      <c r="AN373" s="1" t="s">
        <v>272</v>
      </c>
      <c r="AO373" s="5" t="s">
        <v>5</v>
      </c>
      <c r="AP373" s="1">
        <v>4</v>
      </c>
      <c r="AQ373" s="2">
        <v>110000</v>
      </c>
      <c r="AR373" s="1">
        <v>7</v>
      </c>
      <c r="AS373" s="1">
        <v>3</v>
      </c>
      <c r="AT373" s="1">
        <v>3</v>
      </c>
      <c r="AU373" s="1">
        <v>8</v>
      </c>
      <c r="AV373" t="s">
        <v>249</v>
      </c>
      <c r="AW373" s="1" t="s">
        <v>323</v>
      </c>
      <c r="AX373" s="1" t="s">
        <v>324</v>
      </c>
    </row>
    <row r="374" spans="40:50" x14ac:dyDescent="0.25">
      <c r="AN374" s="1" t="s">
        <v>272</v>
      </c>
      <c r="AO374" s="5" t="s">
        <v>191</v>
      </c>
      <c r="AP374" s="1">
        <v>1</v>
      </c>
      <c r="AQ374" s="2">
        <v>140000</v>
      </c>
      <c r="AR374" s="1">
        <v>6</v>
      </c>
      <c r="AS374" s="1">
        <v>5</v>
      </c>
      <c r="AT374" s="1">
        <v>1</v>
      </c>
      <c r="AU374" s="1">
        <v>9</v>
      </c>
      <c r="AV374" t="s">
        <v>315</v>
      </c>
      <c r="AW374" s="1" t="s">
        <v>61</v>
      </c>
      <c r="AX374" s="1" t="s">
        <v>45</v>
      </c>
    </row>
    <row r="375" spans="40:50" x14ac:dyDescent="0.25">
      <c r="AN375" s="1" t="s">
        <v>272</v>
      </c>
      <c r="AO375" s="5" t="s">
        <v>46</v>
      </c>
      <c r="AP375" s="1">
        <v>11</v>
      </c>
      <c r="AQ375" s="2">
        <v>60000</v>
      </c>
      <c r="AR375" s="1">
        <v>6</v>
      </c>
      <c r="AS375" s="1">
        <v>3</v>
      </c>
      <c r="AT375" s="1">
        <v>3</v>
      </c>
      <c r="AU375" s="1">
        <v>8</v>
      </c>
      <c r="AV375" t="s">
        <v>250</v>
      </c>
      <c r="AW375" s="1" t="s">
        <v>22</v>
      </c>
      <c r="AX375" s="1" t="s">
        <v>26</v>
      </c>
    </row>
    <row r="376" spans="40:50" x14ac:dyDescent="0.25">
      <c r="AN376" s="1" t="s">
        <v>272</v>
      </c>
      <c r="AO376" s="5" t="s">
        <v>30</v>
      </c>
      <c r="AP376" s="1">
        <v>1</v>
      </c>
      <c r="AQ376" s="2">
        <v>110000</v>
      </c>
      <c r="AR376" s="1">
        <v>6</v>
      </c>
      <c r="AS376" s="1">
        <v>3</v>
      </c>
      <c r="AT376" s="1">
        <v>3</v>
      </c>
      <c r="AU376" s="1">
        <v>8</v>
      </c>
      <c r="AV376" s="5" t="s">
        <v>138</v>
      </c>
      <c r="AW376" s="1" t="s">
        <v>37</v>
      </c>
      <c r="AX376" s="1" t="s">
        <v>37</v>
      </c>
    </row>
    <row r="377" spans="40:50" x14ac:dyDescent="0.25">
      <c r="AN377" s="1" t="s">
        <v>272</v>
      </c>
      <c r="AO377" s="5" t="s">
        <v>290</v>
      </c>
      <c r="AP377" s="1">
        <v>1</v>
      </c>
      <c r="AQ377" s="2">
        <v>170000</v>
      </c>
      <c r="AR377" s="1">
        <v>8</v>
      </c>
      <c r="AS377" s="1">
        <v>2</v>
      </c>
      <c r="AT377" s="1">
        <v>3</v>
      </c>
      <c r="AU377" s="1">
        <v>7</v>
      </c>
      <c r="AV377" s="5" t="s">
        <v>139</v>
      </c>
      <c r="AW377" s="1" t="s">
        <v>37</v>
      </c>
      <c r="AX377" s="1" t="s">
        <v>37</v>
      </c>
    </row>
    <row r="378" spans="40:50" x14ac:dyDescent="0.25">
      <c r="AN378" s="1" t="s">
        <v>272</v>
      </c>
      <c r="AO378" s="5" t="s">
        <v>325</v>
      </c>
      <c r="AP378" s="1">
        <v>1</v>
      </c>
      <c r="AQ378" s="2">
        <v>220000</v>
      </c>
      <c r="AR378" s="1">
        <v>8</v>
      </c>
      <c r="AS378" s="1">
        <v>3</v>
      </c>
      <c r="AT378" s="1">
        <v>3</v>
      </c>
      <c r="AU378" s="1">
        <v>8</v>
      </c>
      <c r="AV378" s="5" t="s">
        <v>148</v>
      </c>
      <c r="AW378" s="1" t="s">
        <v>37</v>
      </c>
      <c r="AX378" s="1" t="s">
        <v>37</v>
      </c>
    </row>
    <row r="379" spans="40:50" x14ac:dyDescent="0.25">
      <c r="AN379" s="1" t="s">
        <v>272</v>
      </c>
      <c r="AO379" s="5" t="s">
        <v>707</v>
      </c>
      <c r="AP379" s="1">
        <v>1</v>
      </c>
      <c r="AQ379" s="100">
        <v>230000</v>
      </c>
      <c r="AR379" s="1">
        <v>5</v>
      </c>
      <c r="AS379" s="1">
        <v>4</v>
      </c>
      <c r="AT379" s="1">
        <v>2</v>
      </c>
      <c r="AU379" s="1">
        <v>9</v>
      </c>
      <c r="AV379" s="99" t="s">
        <v>708</v>
      </c>
      <c r="AW379" s="1" t="s">
        <v>37</v>
      </c>
      <c r="AX379" s="1" t="s">
        <v>37</v>
      </c>
    </row>
    <row r="380" spans="40:50" x14ac:dyDescent="0.25">
      <c r="AN380" s="1" t="s">
        <v>272</v>
      </c>
      <c r="AO380" s="5" t="s">
        <v>118</v>
      </c>
      <c r="AP380" s="1">
        <v>1</v>
      </c>
      <c r="AQ380" s="2">
        <v>250000</v>
      </c>
      <c r="AR380" s="1">
        <v>8</v>
      </c>
      <c r="AS380" s="1">
        <v>2</v>
      </c>
      <c r="AT380" s="1">
        <v>4</v>
      </c>
      <c r="AU380" s="1">
        <v>7</v>
      </c>
      <c r="AV380" s="5" t="s">
        <v>155</v>
      </c>
      <c r="AW380" s="1" t="s">
        <v>37</v>
      </c>
      <c r="AX380" s="1" t="s">
        <v>37</v>
      </c>
    </row>
    <row r="381" spans="40:50" x14ac:dyDescent="0.25">
      <c r="AN381" s="1" t="s">
        <v>272</v>
      </c>
      <c r="AO381" s="5" t="s">
        <v>122</v>
      </c>
      <c r="AP381" s="1">
        <v>1</v>
      </c>
      <c r="AQ381" s="2">
        <v>250000</v>
      </c>
      <c r="AR381" s="1">
        <v>7</v>
      </c>
      <c r="AS381" s="1">
        <v>4</v>
      </c>
      <c r="AT381" s="1">
        <v>1</v>
      </c>
      <c r="AU381" s="1">
        <v>9</v>
      </c>
      <c r="AV381" s="5" t="s">
        <v>163</v>
      </c>
      <c r="AW381" s="1" t="s">
        <v>37</v>
      </c>
      <c r="AX381" s="1" t="s">
        <v>37</v>
      </c>
    </row>
    <row r="382" spans="40:50" x14ac:dyDescent="0.25">
      <c r="AN382" s="1" t="s">
        <v>272</v>
      </c>
      <c r="AO382" s="99" t="s">
        <v>834</v>
      </c>
      <c r="AP382" s="92">
        <v>1</v>
      </c>
      <c r="AQ382" s="100">
        <v>280000</v>
      </c>
      <c r="AR382" s="92">
        <v>5</v>
      </c>
      <c r="AS382" s="92">
        <v>5</v>
      </c>
      <c r="AT382" s="92">
        <v>2</v>
      </c>
      <c r="AU382" s="92">
        <v>9</v>
      </c>
      <c r="AV382" s="99" t="s">
        <v>835</v>
      </c>
      <c r="AW382" s="1" t="s">
        <v>37</v>
      </c>
      <c r="AX382" s="1" t="s">
        <v>37</v>
      </c>
    </row>
    <row r="383" spans="40:50" x14ac:dyDescent="0.25">
      <c r="AN383" s="1" t="s">
        <v>272</v>
      </c>
      <c r="AO383" s="99" t="s">
        <v>867</v>
      </c>
      <c r="AP383" s="92">
        <v>1</v>
      </c>
      <c r="AQ383" s="100">
        <v>380000</v>
      </c>
      <c r="AR383" s="92">
        <v>5</v>
      </c>
      <c r="AS383" s="92">
        <v>6</v>
      </c>
      <c r="AT383" s="92">
        <v>2</v>
      </c>
      <c r="AU383" s="92">
        <v>10</v>
      </c>
      <c r="AV383" s="99" t="s">
        <v>864</v>
      </c>
      <c r="AW383" s="1" t="s">
        <v>37</v>
      </c>
      <c r="AX383" s="1" t="s">
        <v>37</v>
      </c>
    </row>
    <row r="384" spans="40:50" x14ac:dyDescent="0.25">
      <c r="AN384" s="1" t="s">
        <v>272</v>
      </c>
      <c r="AO384" s="99" t="s">
        <v>877</v>
      </c>
      <c r="AP384" s="92">
        <v>16</v>
      </c>
      <c r="AQ384" s="100">
        <v>400000</v>
      </c>
      <c r="AR384" s="92">
        <v>6</v>
      </c>
      <c r="AS384" s="92">
        <v>7</v>
      </c>
      <c r="AT384" s="92">
        <v>2</v>
      </c>
      <c r="AU384" s="92">
        <v>10</v>
      </c>
      <c r="AV384" s="99" t="s">
        <v>878</v>
      </c>
      <c r="AW384" s="1" t="s">
        <v>37</v>
      </c>
      <c r="AX384" s="1" t="s">
        <v>37</v>
      </c>
    </row>
    <row r="385" spans="40:50" x14ac:dyDescent="0.25">
      <c r="AN385" s="1" t="s">
        <v>272</v>
      </c>
      <c r="AO385" s="5" t="s">
        <v>35</v>
      </c>
      <c r="AP385" s="1">
        <v>1</v>
      </c>
      <c r="AQ385" s="2">
        <v>430000</v>
      </c>
      <c r="AR385" s="1">
        <v>6</v>
      </c>
      <c r="AS385" s="1">
        <v>6</v>
      </c>
      <c r="AT385" s="1">
        <v>3</v>
      </c>
      <c r="AU385" s="1">
        <v>10</v>
      </c>
      <c r="AV385" s="5" t="s">
        <v>151</v>
      </c>
      <c r="AW385" s="1" t="s">
        <v>37</v>
      </c>
      <c r="AX385" s="1" t="s">
        <v>37</v>
      </c>
    </row>
    <row r="386" spans="40:50" x14ac:dyDescent="0.25">
      <c r="AN386" s="1" t="s">
        <v>267</v>
      </c>
      <c r="AO386" s="5"/>
      <c r="AP386" s="1"/>
      <c r="AQ386" s="2"/>
      <c r="AR386" s="1"/>
      <c r="AS386" s="1"/>
      <c r="AT386" s="1"/>
      <c r="AU386" s="1"/>
      <c r="AV386"/>
      <c r="AW386" s="1"/>
      <c r="AX386" s="1"/>
    </row>
    <row r="387" spans="40:50" x14ac:dyDescent="0.25">
      <c r="AN387" s="1" t="s">
        <v>267</v>
      </c>
      <c r="AO387" s="5" t="s">
        <v>70</v>
      </c>
      <c r="AP387" s="1">
        <v>16</v>
      </c>
      <c r="AQ387" s="2">
        <v>50000</v>
      </c>
      <c r="AR387" s="1">
        <v>7</v>
      </c>
      <c r="AS387" s="1">
        <v>3</v>
      </c>
      <c r="AT387" s="1">
        <v>3</v>
      </c>
      <c r="AU387" s="1">
        <v>7</v>
      </c>
      <c r="AV387" t="s">
        <v>647</v>
      </c>
      <c r="AW387" s="1" t="s">
        <v>22</v>
      </c>
      <c r="AX387" s="1" t="s">
        <v>328</v>
      </c>
    </row>
    <row r="388" spans="40:50" x14ac:dyDescent="0.25">
      <c r="AN388" s="1" t="s">
        <v>267</v>
      </c>
      <c r="AO388" s="5" t="s">
        <v>3</v>
      </c>
      <c r="AP388" s="1">
        <v>2</v>
      </c>
      <c r="AQ388" s="2">
        <v>70000</v>
      </c>
      <c r="AR388" s="1">
        <v>7</v>
      </c>
      <c r="AS388" s="1">
        <v>3</v>
      </c>
      <c r="AT388" s="1">
        <v>3</v>
      </c>
      <c r="AU388" s="1">
        <v>7</v>
      </c>
      <c r="AV388" t="s">
        <v>304</v>
      </c>
      <c r="AW388" s="1" t="s">
        <v>23</v>
      </c>
      <c r="AX388" s="1" t="s">
        <v>329</v>
      </c>
    </row>
    <row r="389" spans="40:50" x14ac:dyDescent="0.25">
      <c r="AN389" s="1" t="s">
        <v>267</v>
      </c>
      <c r="AO389" s="5" t="s">
        <v>206</v>
      </c>
      <c r="AP389" s="1">
        <v>4</v>
      </c>
      <c r="AQ389" s="2">
        <v>80000</v>
      </c>
      <c r="AR389" s="1">
        <v>9</v>
      </c>
      <c r="AS389" s="1">
        <v>2</v>
      </c>
      <c r="AT389" s="1">
        <v>4</v>
      </c>
      <c r="AU389" s="1">
        <v>7</v>
      </c>
      <c r="AV389" t="s">
        <v>243</v>
      </c>
      <c r="AW389" s="1" t="s">
        <v>24</v>
      </c>
      <c r="AX389" s="1" t="s">
        <v>330</v>
      </c>
    </row>
    <row r="390" spans="40:50" x14ac:dyDescent="0.25">
      <c r="AN390" s="1" t="s">
        <v>267</v>
      </c>
      <c r="AO390" s="5" t="s">
        <v>5</v>
      </c>
      <c r="AP390" s="1">
        <v>2</v>
      </c>
      <c r="AQ390" s="2">
        <v>90000</v>
      </c>
      <c r="AR390" s="1">
        <v>7</v>
      </c>
      <c r="AS390" s="1">
        <v>3</v>
      </c>
      <c r="AT390" s="1">
        <v>3</v>
      </c>
      <c r="AU390" s="1">
        <v>8</v>
      </c>
      <c r="AV390" t="s">
        <v>222</v>
      </c>
      <c r="AW390" s="1" t="s">
        <v>25</v>
      </c>
      <c r="AX390" s="1" t="s">
        <v>59</v>
      </c>
    </row>
    <row r="391" spans="40:50" x14ac:dyDescent="0.25">
      <c r="AN391" s="1" t="s">
        <v>267</v>
      </c>
      <c r="AO391" s="5" t="s">
        <v>208</v>
      </c>
      <c r="AP391" s="1">
        <v>1</v>
      </c>
      <c r="AQ391" s="2">
        <v>150000</v>
      </c>
      <c r="AR391" s="1">
        <v>6</v>
      </c>
      <c r="AS391" s="1">
        <v>5</v>
      </c>
      <c r="AT391" s="1">
        <v>2</v>
      </c>
      <c r="AU391" s="1">
        <v>8</v>
      </c>
      <c r="AV391" t="s">
        <v>326</v>
      </c>
      <c r="AW391" s="1" t="s">
        <v>61</v>
      </c>
      <c r="AX391" s="1" t="s">
        <v>62</v>
      </c>
    </row>
    <row r="392" spans="40:50" x14ac:dyDescent="0.25">
      <c r="AN392" s="1" t="s">
        <v>267</v>
      </c>
      <c r="AO392" s="5" t="s">
        <v>46</v>
      </c>
      <c r="AP392" s="1">
        <v>11</v>
      </c>
      <c r="AQ392" s="2">
        <v>50000</v>
      </c>
      <c r="AR392" s="1">
        <v>7</v>
      </c>
      <c r="AS392" s="1">
        <v>3</v>
      </c>
      <c r="AT392" s="1">
        <v>3</v>
      </c>
      <c r="AU392" s="1">
        <v>7</v>
      </c>
      <c r="AV392" t="s">
        <v>65</v>
      </c>
      <c r="AW392" s="1" t="s">
        <v>22</v>
      </c>
      <c r="AX392" s="1" t="s">
        <v>328</v>
      </c>
    </row>
    <row r="393" spans="40:50" x14ac:dyDescent="0.25">
      <c r="AN393" s="1" t="s">
        <v>267</v>
      </c>
      <c r="AO393" s="5" t="s">
        <v>104</v>
      </c>
      <c r="AP393" s="1">
        <v>1</v>
      </c>
      <c r="AQ393" s="2">
        <v>100000</v>
      </c>
      <c r="AR393" s="1">
        <v>4</v>
      </c>
      <c r="AS393" s="1">
        <v>7</v>
      </c>
      <c r="AT393" s="1">
        <v>3</v>
      </c>
      <c r="AU393" s="1">
        <v>7</v>
      </c>
      <c r="AV393" s="5" t="s">
        <v>130</v>
      </c>
      <c r="AW393" s="1" t="s">
        <v>37</v>
      </c>
      <c r="AX393" s="1" t="s">
        <v>37</v>
      </c>
    </row>
    <row r="394" spans="40:50" x14ac:dyDescent="0.25">
      <c r="AN394" s="1" t="s">
        <v>267</v>
      </c>
      <c r="AO394" s="99" t="s">
        <v>695</v>
      </c>
      <c r="AP394" s="92">
        <v>1</v>
      </c>
      <c r="AQ394" s="100">
        <v>110000</v>
      </c>
      <c r="AR394" s="92">
        <v>8</v>
      </c>
      <c r="AS394" s="92">
        <v>3</v>
      </c>
      <c r="AT394" s="92">
        <v>3</v>
      </c>
      <c r="AU394" s="92">
        <v>7</v>
      </c>
      <c r="AV394" s="99" t="s">
        <v>696</v>
      </c>
      <c r="AW394" s="1" t="s">
        <v>37</v>
      </c>
      <c r="AX394" s="1" t="s">
        <v>37</v>
      </c>
    </row>
    <row r="395" spans="40:50" x14ac:dyDescent="0.25">
      <c r="AN395" s="1" t="s">
        <v>267</v>
      </c>
      <c r="AO395" s="5" t="s">
        <v>357</v>
      </c>
      <c r="AP395" s="1">
        <v>1</v>
      </c>
      <c r="AQ395" s="2">
        <v>130000</v>
      </c>
      <c r="AR395" s="1">
        <v>5</v>
      </c>
      <c r="AS395" s="1">
        <v>7</v>
      </c>
      <c r="AT395" s="1">
        <v>2</v>
      </c>
      <c r="AU395" s="1">
        <v>9</v>
      </c>
      <c r="AV395" s="5" t="s">
        <v>358</v>
      </c>
      <c r="AW395" s="1" t="s">
        <v>37</v>
      </c>
      <c r="AX395" s="1" t="s">
        <v>37</v>
      </c>
    </row>
    <row r="396" spans="40:50" x14ac:dyDescent="0.25">
      <c r="AN396" s="1" t="s">
        <v>267</v>
      </c>
      <c r="AO396" s="5" t="s">
        <v>293</v>
      </c>
      <c r="AP396" s="1">
        <v>1</v>
      </c>
      <c r="AQ396" s="2">
        <v>160000</v>
      </c>
      <c r="AR396" s="1">
        <v>9</v>
      </c>
      <c r="AS396" s="1">
        <v>2</v>
      </c>
      <c r="AT396" s="1">
        <v>4</v>
      </c>
      <c r="AU396" s="1">
        <v>7</v>
      </c>
      <c r="AV396" s="5" t="s">
        <v>162</v>
      </c>
      <c r="AW396" s="1" t="s">
        <v>37</v>
      </c>
      <c r="AX396" s="1" t="s">
        <v>37</v>
      </c>
    </row>
    <row r="397" spans="40:50" x14ac:dyDescent="0.25">
      <c r="AN397" s="1" t="s">
        <v>267</v>
      </c>
      <c r="AO397" s="5" t="s">
        <v>109</v>
      </c>
      <c r="AP397" s="1">
        <v>1</v>
      </c>
      <c r="AQ397" s="2">
        <v>200000</v>
      </c>
      <c r="AR397" s="1">
        <v>9</v>
      </c>
      <c r="AS397" s="1">
        <v>3</v>
      </c>
      <c r="AT397" s="1">
        <v>4</v>
      </c>
      <c r="AU397" s="1">
        <v>7</v>
      </c>
      <c r="AV397" s="5" t="s">
        <v>136</v>
      </c>
      <c r="AW397" s="1" t="s">
        <v>37</v>
      </c>
      <c r="AX397" s="1" t="s">
        <v>37</v>
      </c>
    </row>
    <row r="398" spans="40:50" x14ac:dyDescent="0.25">
      <c r="AN398" s="1" t="s">
        <v>267</v>
      </c>
      <c r="AO398" s="5" t="s">
        <v>332</v>
      </c>
      <c r="AP398" s="1">
        <v>1</v>
      </c>
      <c r="AQ398" s="2">
        <v>210000</v>
      </c>
      <c r="AR398" s="1">
        <v>7</v>
      </c>
      <c r="AS398" s="1">
        <v>4</v>
      </c>
      <c r="AT398" s="1">
        <v>3</v>
      </c>
      <c r="AU398" s="1">
        <v>8</v>
      </c>
      <c r="AV398" s="5" t="s">
        <v>700</v>
      </c>
      <c r="AW398" s="1" t="s">
        <v>37</v>
      </c>
      <c r="AX398" s="1" t="s">
        <v>37</v>
      </c>
    </row>
    <row r="399" spans="40:50" x14ac:dyDescent="0.25">
      <c r="AN399" s="1" t="s">
        <v>267</v>
      </c>
      <c r="AO399" s="5" t="s">
        <v>356</v>
      </c>
      <c r="AP399" s="1">
        <v>1</v>
      </c>
      <c r="AQ399" s="2">
        <v>190000</v>
      </c>
      <c r="AR399" s="1">
        <v>5</v>
      </c>
      <c r="AS399" s="1">
        <v>4</v>
      </c>
      <c r="AT399" s="1">
        <v>2</v>
      </c>
      <c r="AU399" s="1">
        <v>8</v>
      </c>
      <c r="AV399" s="5" t="s">
        <v>611</v>
      </c>
      <c r="AW399" s="1" t="s">
        <v>37</v>
      </c>
      <c r="AX399" s="1" t="s">
        <v>37</v>
      </c>
    </row>
    <row r="400" spans="40:50" x14ac:dyDescent="0.25">
      <c r="AN400" s="1" t="s">
        <v>267</v>
      </c>
      <c r="AO400" s="5" t="s">
        <v>110</v>
      </c>
      <c r="AP400" s="1">
        <v>1</v>
      </c>
      <c r="AQ400" s="2">
        <v>340000</v>
      </c>
      <c r="AR400" s="1">
        <v>6</v>
      </c>
      <c r="AS400" s="1">
        <v>6</v>
      </c>
      <c r="AT400" s="1">
        <v>3</v>
      </c>
      <c r="AU400" s="1">
        <v>8</v>
      </c>
      <c r="AV400" s="5" t="s">
        <v>137</v>
      </c>
      <c r="AW400" s="1" t="s">
        <v>37</v>
      </c>
      <c r="AX400" s="1" t="s">
        <v>37</v>
      </c>
    </row>
    <row r="401" spans="40:50" x14ac:dyDescent="0.25">
      <c r="AN401" s="1" t="s">
        <v>267</v>
      </c>
      <c r="AO401" s="99" t="s">
        <v>867</v>
      </c>
      <c r="AP401" s="92">
        <v>1</v>
      </c>
      <c r="AQ401" s="100">
        <v>380000</v>
      </c>
      <c r="AR401" s="92">
        <v>5</v>
      </c>
      <c r="AS401" s="92">
        <v>6</v>
      </c>
      <c r="AT401" s="92">
        <v>2</v>
      </c>
      <c r="AU401" s="92">
        <v>10</v>
      </c>
      <c r="AV401" s="99" t="s">
        <v>864</v>
      </c>
      <c r="AW401" s="1" t="s">
        <v>37</v>
      </c>
      <c r="AX401" s="1" t="s">
        <v>37</v>
      </c>
    </row>
    <row r="402" spans="40:50" x14ac:dyDescent="0.25">
      <c r="AN402" s="1" t="s">
        <v>267</v>
      </c>
      <c r="AO402" s="99" t="s">
        <v>877</v>
      </c>
      <c r="AP402" s="92">
        <v>16</v>
      </c>
      <c r="AQ402" s="100">
        <v>400000</v>
      </c>
      <c r="AR402" s="92">
        <v>6</v>
      </c>
      <c r="AS402" s="92">
        <v>7</v>
      </c>
      <c r="AT402" s="92">
        <v>2</v>
      </c>
      <c r="AU402" s="92">
        <v>10</v>
      </c>
      <c r="AV402" s="99" t="s">
        <v>878</v>
      </c>
      <c r="AW402" s="1" t="s">
        <v>37</v>
      </c>
      <c r="AX402" s="1" t="s">
        <v>37</v>
      </c>
    </row>
    <row r="403" spans="40:50" x14ac:dyDescent="0.25">
      <c r="AN403" s="1" t="s">
        <v>267</v>
      </c>
      <c r="AO403" s="5" t="s">
        <v>35</v>
      </c>
      <c r="AP403" s="1">
        <v>1</v>
      </c>
      <c r="AQ403" s="2">
        <v>430000</v>
      </c>
      <c r="AR403" s="1">
        <v>6</v>
      </c>
      <c r="AS403" s="1">
        <v>6</v>
      </c>
      <c r="AT403" s="1">
        <v>3</v>
      </c>
      <c r="AU403" s="1">
        <v>10</v>
      </c>
      <c r="AV403" s="5" t="s">
        <v>151</v>
      </c>
      <c r="AW403" s="1" t="s">
        <v>37</v>
      </c>
      <c r="AX403" s="1" t="s">
        <v>37</v>
      </c>
    </row>
    <row r="404" spans="40:50" x14ac:dyDescent="0.25">
      <c r="AN404" s="1" t="s">
        <v>268</v>
      </c>
      <c r="AO404" s="5"/>
      <c r="AP404" s="1"/>
      <c r="AQ404" s="2"/>
      <c r="AR404" s="1"/>
      <c r="AS404" s="1"/>
      <c r="AT404" s="1"/>
      <c r="AU404" s="1"/>
      <c r="AV404"/>
      <c r="AW404" s="1"/>
      <c r="AX404" s="1"/>
    </row>
    <row r="405" spans="40:50" x14ac:dyDescent="0.25">
      <c r="AN405" s="1" t="s">
        <v>268</v>
      </c>
      <c r="AO405" s="5" t="s">
        <v>257</v>
      </c>
      <c r="AP405" s="1">
        <v>16</v>
      </c>
      <c r="AQ405" s="2">
        <v>40000</v>
      </c>
      <c r="AR405" s="1">
        <v>5</v>
      </c>
      <c r="AS405" s="1">
        <v>3</v>
      </c>
      <c r="AT405" s="1">
        <v>2</v>
      </c>
      <c r="AU405" s="1">
        <v>7</v>
      </c>
      <c r="AV405" t="s">
        <v>232</v>
      </c>
      <c r="AW405" s="1" t="s">
        <v>22</v>
      </c>
      <c r="AX405" s="1" t="s">
        <v>26</v>
      </c>
    </row>
    <row r="406" spans="40:50" x14ac:dyDescent="0.25">
      <c r="AN406" s="1" t="s">
        <v>268</v>
      </c>
      <c r="AO406" s="5" t="s">
        <v>259</v>
      </c>
      <c r="AP406" s="1">
        <v>16</v>
      </c>
      <c r="AQ406" s="2">
        <v>40000</v>
      </c>
      <c r="AR406" s="1">
        <v>4</v>
      </c>
      <c r="AS406" s="1">
        <v>3</v>
      </c>
      <c r="AT406" s="1">
        <v>2</v>
      </c>
      <c r="AU406" s="1">
        <v>8</v>
      </c>
      <c r="AV406" t="s">
        <v>236</v>
      </c>
      <c r="AW406" s="1" t="s">
        <v>22</v>
      </c>
      <c r="AX406" s="1" t="s">
        <v>26</v>
      </c>
    </row>
    <row r="407" spans="40:50" x14ac:dyDescent="0.25">
      <c r="AN407" s="1" t="s">
        <v>268</v>
      </c>
      <c r="AO407" s="5" t="s">
        <v>261</v>
      </c>
      <c r="AP407" s="1">
        <v>4</v>
      </c>
      <c r="AQ407" s="2">
        <v>70000</v>
      </c>
      <c r="AR407" s="1">
        <v>7</v>
      </c>
      <c r="AS407" s="1">
        <v>3</v>
      </c>
      <c r="AT407" s="1">
        <v>3</v>
      </c>
      <c r="AU407" s="1">
        <v>7</v>
      </c>
      <c r="AV407" t="s">
        <v>18</v>
      </c>
      <c r="AW407" s="1" t="s">
        <v>24</v>
      </c>
      <c r="AX407" s="1" t="s">
        <v>28</v>
      </c>
    </row>
    <row r="408" spans="40:50" x14ac:dyDescent="0.25">
      <c r="AN408" s="1" t="s">
        <v>268</v>
      </c>
      <c r="AO408" s="5" t="s">
        <v>262</v>
      </c>
      <c r="AP408" s="1">
        <v>2</v>
      </c>
      <c r="AQ408" s="2">
        <v>90000</v>
      </c>
      <c r="AR408" s="1">
        <v>6</v>
      </c>
      <c r="AS408" s="1">
        <v>3</v>
      </c>
      <c r="AT408" s="1">
        <v>3</v>
      </c>
      <c r="AU408" s="1">
        <v>8</v>
      </c>
      <c r="AV408" t="s">
        <v>313</v>
      </c>
      <c r="AW408" s="1" t="s">
        <v>25</v>
      </c>
      <c r="AX408" s="1" t="s">
        <v>29</v>
      </c>
    </row>
    <row r="409" spans="40:50" x14ac:dyDescent="0.25">
      <c r="AN409" s="1" t="s">
        <v>268</v>
      </c>
      <c r="AO409" s="5" t="s">
        <v>269</v>
      </c>
      <c r="AP409" s="1">
        <v>2</v>
      </c>
      <c r="AQ409" s="2">
        <v>120000</v>
      </c>
      <c r="AR409" s="1">
        <v>3</v>
      </c>
      <c r="AS409" s="1">
        <v>5</v>
      </c>
      <c r="AT409" s="1">
        <v>1</v>
      </c>
      <c r="AU409" s="1">
        <v>9</v>
      </c>
      <c r="AV409" t="s">
        <v>327</v>
      </c>
      <c r="AW409" s="1" t="s">
        <v>61</v>
      </c>
      <c r="AX409" s="1" t="s">
        <v>45</v>
      </c>
    </row>
    <row r="410" spans="40:50" x14ac:dyDescent="0.25">
      <c r="AN410" s="1" t="s">
        <v>268</v>
      </c>
      <c r="AO410" s="5" t="s">
        <v>270</v>
      </c>
      <c r="AP410" s="1">
        <v>11</v>
      </c>
      <c r="AQ410" s="2">
        <v>40000</v>
      </c>
      <c r="AR410" s="1">
        <v>5</v>
      </c>
      <c r="AS410" s="1">
        <v>3</v>
      </c>
      <c r="AT410" s="1">
        <v>2</v>
      </c>
      <c r="AU410" s="1">
        <v>7</v>
      </c>
      <c r="AV410" t="s">
        <v>233</v>
      </c>
      <c r="AW410" s="1" t="s">
        <v>22</v>
      </c>
      <c r="AX410" s="1" t="s">
        <v>26</v>
      </c>
    </row>
    <row r="411" spans="40:50" x14ac:dyDescent="0.25">
      <c r="AN411" s="1" t="s">
        <v>268</v>
      </c>
      <c r="AO411" s="5" t="s">
        <v>271</v>
      </c>
      <c r="AP411" s="1">
        <v>11</v>
      </c>
      <c r="AQ411" s="2">
        <v>40000</v>
      </c>
      <c r="AR411" s="1">
        <v>4</v>
      </c>
      <c r="AS411" s="1">
        <v>3</v>
      </c>
      <c r="AT411" s="1">
        <v>2</v>
      </c>
      <c r="AU411" s="1">
        <v>8</v>
      </c>
      <c r="AV411" t="s">
        <v>237</v>
      </c>
      <c r="AW411" s="1" t="s">
        <v>22</v>
      </c>
      <c r="AX411" s="1" t="s">
        <v>26</v>
      </c>
    </row>
    <row r="412" spans="40:50" x14ac:dyDescent="0.25">
      <c r="AN412" s="1" t="s">
        <v>268</v>
      </c>
      <c r="AO412" s="5" t="s">
        <v>121</v>
      </c>
      <c r="AP412" s="1">
        <v>1</v>
      </c>
      <c r="AQ412" s="2">
        <v>80000</v>
      </c>
      <c r="AR412" s="1">
        <v>6</v>
      </c>
      <c r="AS412" s="1">
        <v>3</v>
      </c>
      <c r="AT412" s="1">
        <v>2</v>
      </c>
      <c r="AU412" s="1">
        <v>7</v>
      </c>
      <c r="AV412" s="5" t="s">
        <v>161</v>
      </c>
      <c r="AW412" s="1" t="s">
        <v>37</v>
      </c>
      <c r="AX412" s="1" t="s">
        <v>37</v>
      </c>
    </row>
    <row r="413" spans="40:50" x14ac:dyDescent="0.25">
      <c r="AN413" s="1" t="s">
        <v>268</v>
      </c>
      <c r="AO413" s="5" t="s">
        <v>757</v>
      </c>
      <c r="AP413" s="1">
        <v>1</v>
      </c>
      <c r="AQ413" s="2">
        <v>100000</v>
      </c>
      <c r="AR413" s="1">
        <v>6</v>
      </c>
      <c r="AS413" s="1">
        <v>2</v>
      </c>
      <c r="AT413" s="1">
        <v>3</v>
      </c>
      <c r="AU413" s="1">
        <v>7</v>
      </c>
      <c r="AV413" s="5" t="s">
        <v>758</v>
      </c>
      <c r="AW413" s="1" t="s">
        <v>37</v>
      </c>
      <c r="AX413" s="1" t="s">
        <v>37</v>
      </c>
    </row>
    <row r="414" spans="40:50" x14ac:dyDescent="0.25">
      <c r="AN414" s="1" t="s">
        <v>268</v>
      </c>
      <c r="AO414" s="103" t="s">
        <v>763</v>
      </c>
      <c r="AP414" s="1">
        <v>1</v>
      </c>
      <c r="AQ414" s="2">
        <v>110000</v>
      </c>
      <c r="AR414" s="1">
        <v>4</v>
      </c>
      <c r="AS414" s="1">
        <v>3</v>
      </c>
      <c r="AT414" s="1">
        <v>2</v>
      </c>
      <c r="AU414" s="1">
        <v>8</v>
      </c>
      <c r="AV414" s="5" t="s">
        <v>754</v>
      </c>
      <c r="AW414" s="1" t="s">
        <v>37</v>
      </c>
      <c r="AX414" s="1" t="s">
        <v>37</v>
      </c>
    </row>
    <row r="415" spans="40:50" x14ac:dyDescent="0.25">
      <c r="AN415" s="1" t="s">
        <v>268</v>
      </c>
      <c r="AO415" s="5" t="s">
        <v>289</v>
      </c>
      <c r="AP415" s="1">
        <v>1</v>
      </c>
      <c r="AQ415" s="2">
        <v>120000</v>
      </c>
      <c r="AR415" s="1">
        <v>6</v>
      </c>
      <c r="AS415" s="1">
        <v>3</v>
      </c>
      <c r="AT415" s="1">
        <v>2</v>
      </c>
      <c r="AU415" s="1">
        <v>7</v>
      </c>
      <c r="AV415" s="5" t="s">
        <v>135</v>
      </c>
      <c r="AW415" s="1" t="s">
        <v>37</v>
      </c>
      <c r="AX415" s="1" t="s">
        <v>37</v>
      </c>
    </row>
    <row r="416" spans="40:50" x14ac:dyDescent="0.25">
      <c r="AN416" s="1" t="s">
        <v>268</v>
      </c>
      <c r="AO416" s="5" t="s">
        <v>752</v>
      </c>
      <c r="AP416" s="1">
        <v>1</v>
      </c>
      <c r="AQ416" s="2">
        <v>130000</v>
      </c>
      <c r="AR416" s="1">
        <v>5</v>
      </c>
      <c r="AS416" s="1">
        <v>3</v>
      </c>
      <c r="AT416" s="1">
        <v>2</v>
      </c>
      <c r="AU416" s="1">
        <v>8</v>
      </c>
      <c r="AV416" s="5" t="s">
        <v>753</v>
      </c>
      <c r="AW416" s="1" t="s">
        <v>37</v>
      </c>
      <c r="AX416" s="1" t="s">
        <v>37</v>
      </c>
    </row>
    <row r="417" spans="40:50" x14ac:dyDescent="0.25">
      <c r="AN417" s="1" t="s">
        <v>268</v>
      </c>
      <c r="AO417" s="5" t="s">
        <v>759</v>
      </c>
      <c r="AP417" s="1">
        <v>1</v>
      </c>
      <c r="AQ417" s="2">
        <v>160000</v>
      </c>
      <c r="AR417" s="1">
        <v>7</v>
      </c>
      <c r="AS417" s="1">
        <v>3</v>
      </c>
      <c r="AT417" s="1">
        <v>3</v>
      </c>
      <c r="AU417" s="1">
        <v>7</v>
      </c>
      <c r="AV417" s="5" t="s">
        <v>760</v>
      </c>
      <c r="AW417" s="1" t="s">
        <v>37</v>
      </c>
      <c r="AX417" s="1" t="s">
        <v>37</v>
      </c>
    </row>
    <row r="418" spans="40:50" x14ac:dyDescent="0.25">
      <c r="AN418" s="1" t="s">
        <v>268</v>
      </c>
      <c r="AO418" s="5" t="s">
        <v>114</v>
      </c>
      <c r="AP418" s="1">
        <v>1</v>
      </c>
      <c r="AQ418" s="2">
        <v>180000</v>
      </c>
      <c r="AR418" s="1">
        <v>8</v>
      </c>
      <c r="AS418" s="1">
        <v>3</v>
      </c>
      <c r="AT418" s="1">
        <v>3</v>
      </c>
      <c r="AU418" s="1">
        <v>7</v>
      </c>
      <c r="AV418" s="5" t="s">
        <v>146</v>
      </c>
      <c r="AW418" s="1" t="s">
        <v>37</v>
      </c>
      <c r="AX418" s="1" t="s">
        <v>37</v>
      </c>
    </row>
    <row r="419" spans="40:50" x14ac:dyDescent="0.25">
      <c r="AN419" s="1" t="s">
        <v>268</v>
      </c>
      <c r="AO419" s="5" t="s">
        <v>755</v>
      </c>
      <c r="AP419" s="1">
        <v>1</v>
      </c>
      <c r="AQ419" s="2">
        <v>190000</v>
      </c>
      <c r="AR419" s="1">
        <v>6</v>
      </c>
      <c r="AS419" s="1">
        <v>3</v>
      </c>
      <c r="AT419" s="1">
        <v>3</v>
      </c>
      <c r="AU419" s="1">
        <v>8</v>
      </c>
      <c r="AV419" s="5" t="s">
        <v>756</v>
      </c>
      <c r="AW419" s="1" t="s">
        <v>37</v>
      </c>
      <c r="AX419" s="1" t="s">
        <v>37</v>
      </c>
    </row>
    <row r="420" spans="40:50" x14ac:dyDescent="0.25">
      <c r="AN420" s="1" t="s">
        <v>268</v>
      </c>
      <c r="AO420" s="99" t="s">
        <v>693</v>
      </c>
      <c r="AP420" s="92">
        <v>1</v>
      </c>
      <c r="AQ420" s="100">
        <v>270000</v>
      </c>
      <c r="AR420" s="92">
        <v>4</v>
      </c>
      <c r="AS420" s="92">
        <v>5</v>
      </c>
      <c r="AT420" s="92">
        <v>1</v>
      </c>
      <c r="AU420" s="92">
        <v>9</v>
      </c>
      <c r="AV420" s="99" t="s">
        <v>694</v>
      </c>
      <c r="AW420" s="1" t="s">
        <v>37</v>
      </c>
      <c r="AX420" s="1" t="s">
        <v>37</v>
      </c>
    </row>
    <row r="421" spans="40:50" x14ac:dyDescent="0.25">
      <c r="AN421" s="1" t="s">
        <v>268</v>
      </c>
      <c r="AO421" s="5" t="s">
        <v>292</v>
      </c>
      <c r="AP421" s="1">
        <v>1</v>
      </c>
      <c r="AQ421" s="2">
        <v>220000</v>
      </c>
      <c r="AR421" s="1">
        <v>6</v>
      </c>
      <c r="AS421" s="1">
        <v>4</v>
      </c>
      <c r="AT421" s="1">
        <v>2</v>
      </c>
      <c r="AU421" s="1">
        <v>8</v>
      </c>
      <c r="AV421" s="5" t="s">
        <v>160</v>
      </c>
      <c r="AW421" s="1" t="s">
        <v>37</v>
      </c>
      <c r="AX421" s="1" t="s">
        <v>37</v>
      </c>
    </row>
    <row r="422" spans="40:50" x14ac:dyDescent="0.25">
      <c r="AN422" s="1" t="s">
        <v>268</v>
      </c>
      <c r="AO422" s="5" t="s">
        <v>750</v>
      </c>
      <c r="AP422" s="1">
        <v>1</v>
      </c>
      <c r="AQ422" s="2">
        <v>230000</v>
      </c>
      <c r="AR422" s="1">
        <v>6</v>
      </c>
      <c r="AS422" s="1">
        <v>4</v>
      </c>
      <c r="AT422" s="1">
        <v>2</v>
      </c>
      <c r="AU422" s="1">
        <v>8</v>
      </c>
      <c r="AV422" s="5" t="s">
        <v>751</v>
      </c>
      <c r="AW422" s="1" t="s">
        <v>37</v>
      </c>
      <c r="AX422" s="1" t="s">
        <v>37</v>
      </c>
    </row>
    <row r="423" spans="40:50" x14ac:dyDescent="0.25">
      <c r="AN423" s="1" t="s">
        <v>268</v>
      </c>
      <c r="AO423" s="5" t="s">
        <v>778</v>
      </c>
      <c r="AP423" s="1">
        <v>1</v>
      </c>
      <c r="AQ423" s="2">
        <v>280000</v>
      </c>
      <c r="AR423" s="1">
        <v>7</v>
      </c>
      <c r="AS423" s="1">
        <v>3</v>
      </c>
      <c r="AT423" s="1">
        <v>4</v>
      </c>
      <c r="AU423" s="1">
        <v>8</v>
      </c>
      <c r="AV423" s="5" t="s">
        <v>779</v>
      </c>
      <c r="AW423" s="1" t="s">
        <v>37</v>
      </c>
      <c r="AX423" s="1" t="s">
        <v>37</v>
      </c>
    </row>
    <row r="424" spans="40:50" x14ac:dyDescent="0.25">
      <c r="AN424" s="1" t="s">
        <v>268</v>
      </c>
      <c r="AO424" s="5" t="s">
        <v>119</v>
      </c>
      <c r="AP424" s="1">
        <v>1</v>
      </c>
      <c r="AQ424" s="2">
        <v>360000</v>
      </c>
      <c r="AR424" s="1">
        <v>5</v>
      </c>
      <c r="AS424" s="1">
        <v>6</v>
      </c>
      <c r="AT424" s="1">
        <v>1</v>
      </c>
      <c r="AU424" s="1">
        <v>9</v>
      </c>
      <c r="AV424" s="5" t="s">
        <v>156</v>
      </c>
      <c r="AW424" s="1" t="s">
        <v>37</v>
      </c>
      <c r="AX424" s="1" t="s">
        <v>37</v>
      </c>
    </row>
    <row r="425" spans="40:50" x14ac:dyDescent="0.25">
      <c r="AN425" s="1" t="s">
        <v>268</v>
      </c>
      <c r="AO425" s="99" t="s">
        <v>867</v>
      </c>
      <c r="AP425" s="92">
        <v>1</v>
      </c>
      <c r="AQ425" s="100">
        <v>380000</v>
      </c>
      <c r="AR425" s="92">
        <v>5</v>
      </c>
      <c r="AS425" s="92">
        <v>6</v>
      </c>
      <c r="AT425" s="92">
        <v>2</v>
      </c>
      <c r="AU425" s="92">
        <v>10</v>
      </c>
      <c r="AV425" s="99" t="s">
        <v>864</v>
      </c>
      <c r="AW425" s="1" t="s">
        <v>37</v>
      </c>
      <c r="AX425" s="1" t="s">
        <v>37</v>
      </c>
    </row>
    <row r="426" spans="40:50" x14ac:dyDescent="0.25">
      <c r="AN426" s="1" t="s">
        <v>268</v>
      </c>
      <c r="AO426" s="5" t="s">
        <v>95</v>
      </c>
      <c r="AP426" s="1">
        <v>1</v>
      </c>
      <c r="AQ426" s="2">
        <v>390000</v>
      </c>
      <c r="AR426" s="1">
        <v>6</v>
      </c>
      <c r="AS426" s="1">
        <v>5</v>
      </c>
      <c r="AT426" s="1">
        <v>4</v>
      </c>
      <c r="AU426" s="1">
        <v>9</v>
      </c>
      <c r="AV426" s="5" t="s">
        <v>96</v>
      </c>
      <c r="AW426" s="1" t="s">
        <v>37</v>
      </c>
      <c r="AX426" s="1" t="s">
        <v>37</v>
      </c>
    </row>
    <row r="427" spans="40:50" x14ac:dyDescent="0.25">
      <c r="AN427" s="1" t="s">
        <v>268</v>
      </c>
      <c r="AO427" s="99" t="s">
        <v>877</v>
      </c>
      <c r="AP427" s="92">
        <v>16</v>
      </c>
      <c r="AQ427" s="100">
        <v>400000</v>
      </c>
      <c r="AR427" s="92">
        <v>6</v>
      </c>
      <c r="AS427" s="92">
        <v>7</v>
      </c>
      <c r="AT427" s="92">
        <v>2</v>
      </c>
      <c r="AU427" s="92">
        <v>10</v>
      </c>
      <c r="AV427" s="99" t="s">
        <v>878</v>
      </c>
      <c r="AW427" s="1" t="s">
        <v>37</v>
      </c>
      <c r="AX427" s="1" t="s">
        <v>37</v>
      </c>
    </row>
    <row r="428" spans="40:50" x14ac:dyDescent="0.25">
      <c r="AN428" s="1" t="s">
        <v>273</v>
      </c>
      <c r="AO428" s="5"/>
      <c r="AP428" s="1"/>
      <c r="AQ428"/>
      <c r="AR428" s="1"/>
      <c r="AS428" s="1"/>
      <c r="AT428" s="1"/>
      <c r="AU428" s="1"/>
      <c r="AV428"/>
      <c r="AW428" s="1"/>
      <c r="AX428" s="1"/>
    </row>
    <row r="429" spans="40:50" x14ac:dyDescent="0.25">
      <c r="AN429" s="1" t="s">
        <v>273</v>
      </c>
      <c r="AO429" s="5" t="s">
        <v>178</v>
      </c>
      <c r="AP429" s="1">
        <v>12</v>
      </c>
      <c r="AQ429" s="2">
        <v>40000</v>
      </c>
      <c r="AR429" s="1">
        <v>6</v>
      </c>
      <c r="AS429" s="1">
        <v>2</v>
      </c>
      <c r="AT429" s="1">
        <v>3</v>
      </c>
      <c r="AU429" s="1">
        <v>7</v>
      </c>
      <c r="AV429" t="s">
        <v>301</v>
      </c>
      <c r="AW429" s="1" t="s">
        <v>281</v>
      </c>
      <c r="AX429" s="1" t="s">
        <v>284</v>
      </c>
    </row>
    <row r="430" spans="40:50" x14ac:dyDescent="0.25">
      <c r="AN430" s="1" t="s">
        <v>273</v>
      </c>
      <c r="AO430" s="5" t="s">
        <v>204</v>
      </c>
      <c r="AP430" s="1">
        <v>2</v>
      </c>
      <c r="AQ430" s="2">
        <v>50000</v>
      </c>
      <c r="AR430" s="1">
        <v>7</v>
      </c>
      <c r="AS430" s="1">
        <v>3</v>
      </c>
      <c r="AT430" s="1">
        <v>3</v>
      </c>
      <c r="AU430" s="1">
        <v>7</v>
      </c>
      <c r="AV430" t="s">
        <v>245</v>
      </c>
      <c r="AW430" s="1" t="s">
        <v>282</v>
      </c>
      <c r="AX430" s="1" t="s">
        <v>26</v>
      </c>
    </row>
    <row r="431" spans="40:50" x14ac:dyDescent="0.25">
      <c r="AN431" s="1" t="s">
        <v>273</v>
      </c>
      <c r="AO431" s="5" t="s">
        <v>205</v>
      </c>
      <c r="AP431" s="1">
        <v>2</v>
      </c>
      <c r="AQ431" s="2">
        <v>70000</v>
      </c>
      <c r="AR431" s="1">
        <v>7</v>
      </c>
      <c r="AS431" s="1">
        <v>3</v>
      </c>
      <c r="AT431" s="1">
        <v>3</v>
      </c>
      <c r="AU431" s="1">
        <v>7</v>
      </c>
      <c r="AV431" t="s">
        <v>251</v>
      </c>
      <c r="AW431" s="1" t="s">
        <v>331</v>
      </c>
      <c r="AX431" s="1" t="s">
        <v>27</v>
      </c>
    </row>
    <row r="432" spans="40:50" x14ac:dyDescent="0.25">
      <c r="AN432" s="1" t="s">
        <v>273</v>
      </c>
      <c r="AO432" s="5" t="s">
        <v>207</v>
      </c>
      <c r="AP432" s="1">
        <v>2</v>
      </c>
      <c r="AQ432" s="2">
        <v>90000</v>
      </c>
      <c r="AR432" s="1">
        <v>7</v>
      </c>
      <c r="AS432" s="1">
        <v>3</v>
      </c>
      <c r="AT432" s="1">
        <v>3</v>
      </c>
      <c r="AU432" s="1">
        <v>8</v>
      </c>
      <c r="AV432" t="s">
        <v>252</v>
      </c>
      <c r="AW432" s="1" t="s">
        <v>40</v>
      </c>
      <c r="AX432" s="1" t="s">
        <v>29</v>
      </c>
    </row>
    <row r="433" spans="40:50" x14ac:dyDescent="0.25">
      <c r="AN433" s="1" t="s">
        <v>273</v>
      </c>
      <c r="AO433" s="5" t="s">
        <v>219</v>
      </c>
      <c r="AP433" s="1">
        <v>1</v>
      </c>
      <c r="AQ433" s="2">
        <v>110000</v>
      </c>
      <c r="AR433" s="1">
        <v>4</v>
      </c>
      <c r="AS433" s="1">
        <v>5</v>
      </c>
      <c r="AT433" s="1">
        <v>1</v>
      </c>
      <c r="AU433" s="1">
        <v>9</v>
      </c>
      <c r="AV433" t="s">
        <v>229</v>
      </c>
      <c r="AW433" s="1" t="s">
        <v>44</v>
      </c>
      <c r="AX433" s="1" t="s">
        <v>45</v>
      </c>
    </row>
    <row r="434" spans="40:50" x14ac:dyDescent="0.25">
      <c r="AN434" s="1" t="s">
        <v>273</v>
      </c>
      <c r="AO434" s="5" t="s">
        <v>46</v>
      </c>
      <c r="AP434" s="1">
        <v>11</v>
      </c>
      <c r="AQ434" s="2">
        <v>40000</v>
      </c>
      <c r="AR434" s="1">
        <v>6</v>
      </c>
      <c r="AS434" s="1">
        <v>2</v>
      </c>
      <c r="AT434" s="1">
        <v>3</v>
      </c>
      <c r="AU434" s="1">
        <v>7</v>
      </c>
      <c r="AV434" t="s">
        <v>302</v>
      </c>
      <c r="AW434" s="1" t="s">
        <v>281</v>
      </c>
      <c r="AX434" s="1" t="s">
        <v>284</v>
      </c>
    </row>
    <row r="435" spans="40:50" x14ac:dyDescent="0.25">
      <c r="AN435" s="1" t="s">
        <v>273</v>
      </c>
      <c r="AO435" s="5" t="s">
        <v>91</v>
      </c>
      <c r="AP435" s="1">
        <v>1</v>
      </c>
      <c r="AQ435" s="2">
        <v>60000</v>
      </c>
      <c r="AR435" s="1">
        <v>6</v>
      </c>
      <c r="AS435" s="1">
        <v>2</v>
      </c>
      <c r="AT435" s="1">
        <v>3</v>
      </c>
      <c r="AU435" s="1">
        <v>7</v>
      </c>
      <c r="AV435" s="5" t="s">
        <v>92</v>
      </c>
      <c r="AW435" s="1" t="s">
        <v>37</v>
      </c>
      <c r="AX435" s="1" t="s">
        <v>37</v>
      </c>
    </row>
    <row r="436" spans="40:50" x14ac:dyDescent="0.25">
      <c r="AN436" s="1" t="s">
        <v>273</v>
      </c>
      <c r="AO436" s="5" t="s">
        <v>104</v>
      </c>
      <c r="AP436" s="1">
        <v>1</v>
      </c>
      <c r="AQ436" s="2">
        <v>100000</v>
      </c>
      <c r="AR436" s="1">
        <v>4</v>
      </c>
      <c r="AS436" s="1">
        <v>7</v>
      </c>
      <c r="AT436" s="1">
        <v>3</v>
      </c>
      <c r="AU436" s="1">
        <v>7</v>
      </c>
      <c r="AV436" s="5" t="s">
        <v>130</v>
      </c>
      <c r="AW436" s="1" t="s">
        <v>37</v>
      </c>
      <c r="AX436" s="1" t="s">
        <v>37</v>
      </c>
    </row>
    <row r="437" spans="40:50" x14ac:dyDescent="0.25">
      <c r="AN437" s="1" t="s">
        <v>273</v>
      </c>
      <c r="AO437" s="5" t="s">
        <v>357</v>
      </c>
      <c r="AP437" s="1">
        <v>1</v>
      </c>
      <c r="AQ437" s="2">
        <v>130000</v>
      </c>
      <c r="AR437" s="1">
        <v>5</v>
      </c>
      <c r="AS437" s="1">
        <v>7</v>
      </c>
      <c r="AT437" s="1">
        <v>2</v>
      </c>
      <c r="AU437" s="1">
        <v>9</v>
      </c>
      <c r="AV437" s="5" t="s">
        <v>358</v>
      </c>
      <c r="AW437" s="1" t="s">
        <v>37</v>
      </c>
      <c r="AX437" s="1" t="s">
        <v>37</v>
      </c>
    </row>
    <row r="438" spans="40:50" x14ac:dyDescent="0.25">
      <c r="AN438" s="1" t="s">
        <v>273</v>
      </c>
      <c r="AO438" s="5" t="s">
        <v>67</v>
      </c>
      <c r="AP438" s="1">
        <v>1</v>
      </c>
      <c r="AQ438" s="2">
        <v>130000</v>
      </c>
      <c r="AR438" s="1">
        <v>6</v>
      </c>
      <c r="AS438" s="1">
        <v>2</v>
      </c>
      <c r="AT438" s="1">
        <v>3</v>
      </c>
      <c r="AU438" s="1">
        <v>7</v>
      </c>
      <c r="AV438" s="5" t="s">
        <v>152</v>
      </c>
      <c r="AW438" s="1" t="s">
        <v>37</v>
      </c>
      <c r="AX438" s="1" t="s">
        <v>37</v>
      </c>
    </row>
    <row r="439" spans="40:50" x14ac:dyDescent="0.25">
      <c r="AN439" s="1" t="s">
        <v>273</v>
      </c>
      <c r="AO439" s="5" t="s">
        <v>293</v>
      </c>
      <c r="AP439" s="1">
        <v>1</v>
      </c>
      <c r="AQ439" s="2">
        <v>160000</v>
      </c>
      <c r="AR439" s="1">
        <v>9</v>
      </c>
      <c r="AS439" s="1">
        <v>2</v>
      </c>
      <c r="AT439" s="1">
        <v>4</v>
      </c>
      <c r="AU439" s="1">
        <v>7</v>
      </c>
      <c r="AV439" s="5" t="s">
        <v>162</v>
      </c>
      <c r="AW439" s="1" t="s">
        <v>37</v>
      </c>
      <c r="AX439" s="1" t="s">
        <v>37</v>
      </c>
    </row>
    <row r="440" spans="40:50" x14ac:dyDescent="0.25">
      <c r="AN440" s="1" t="s">
        <v>273</v>
      </c>
      <c r="AO440" s="5" t="s">
        <v>126</v>
      </c>
      <c r="AP440" s="1">
        <v>1</v>
      </c>
      <c r="AQ440" s="2">
        <v>170000</v>
      </c>
      <c r="AR440" s="1">
        <v>6</v>
      </c>
      <c r="AS440" s="1">
        <v>4</v>
      </c>
      <c r="AT440" s="1">
        <v>3</v>
      </c>
      <c r="AU440" s="1">
        <v>8</v>
      </c>
      <c r="AV440" s="5" t="s">
        <v>170</v>
      </c>
      <c r="AW440" s="1" t="s">
        <v>37</v>
      </c>
      <c r="AX440" s="1" t="s">
        <v>37</v>
      </c>
    </row>
    <row r="441" spans="40:50" x14ac:dyDescent="0.25">
      <c r="AN441" s="1" t="s">
        <v>273</v>
      </c>
      <c r="AO441" s="5" t="s">
        <v>332</v>
      </c>
      <c r="AP441" s="1">
        <v>1</v>
      </c>
      <c r="AQ441" s="2">
        <v>210000</v>
      </c>
      <c r="AR441" s="1">
        <v>7</v>
      </c>
      <c r="AS441" s="1">
        <v>4</v>
      </c>
      <c r="AT441" s="1">
        <v>3</v>
      </c>
      <c r="AU441" s="1">
        <v>8</v>
      </c>
      <c r="AV441" s="5" t="s">
        <v>700</v>
      </c>
      <c r="AW441" s="1" t="s">
        <v>37</v>
      </c>
      <c r="AX441" s="1" t="s">
        <v>37</v>
      </c>
    </row>
    <row r="442" spans="40:50" x14ac:dyDescent="0.25">
      <c r="AN442" s="1" t="s">
        <v>273</v>
      </c>
      <c r="AO442" s="5" t="s">
        <v>356</v>
      </c>
      <c r="AP442" s="1">
        <v>1</v>
      </c>
      <c r="AQ442" s="2">
        <v>190000</v>
      </c>
      <c r="AR442" s="1">
        <v>5</v>
      </c>
      <c r="AS442" s="1">
        <v>4</v>
      </c>
      <c r="AT442" s="1">
        <v>2</v>
      </c>
      <c r="AU442" s="1">
        <v>8</v>
      </c>
      <c r="AV442" s="5" t="s">
        <v>611</v>
      </c>
      <c r="AW442" s="1" t="s">
        <v>37</v>
      </c>
      <c r="AX442" s="1" t="s">
        <v>37</v>
      </c>
    </row>
    <row r="443" spans="40:50" x14ac:dyDescent="0.25">
      <c r="AN443" s="1" t="s">
        <v>273</v>
      </c>
      <c r="AO443" s="5" t="s">
        <v>707</v>
      </c>
      <c r="AP443" s="1">
        <v>1</v>
      </c>
      <c r="AQ443" s="100">
        <v>230000</v>
      </c>
      <c r="AR443" s="1">
        <v>5</v>
      </c>
      <c r="AS443" s="1">
        <v>4</v>
      </c>
      <c r="AT443" s="1">
        <v>2</v>
      </c>
      <c r="AU443" s="1">
        <v>9</v>
      </c>
      <c r="AV443" s="99" t="s">
        <v>708</v>
      </c>
      <c r="AW443" s="1" t="s">
        <v>37</v>
      </c>
      <c r="AX443" s="1" t="s">
        <v>37</v>
      </c>
    </row>
    <row r="444" spans="40:50" x14ac:dyDescent="0.25">
      <c r="AN444" s="1" t="s">
        <v>273</v>
      </c>
      <c r="AO444" s="99" t="s">
        <v>867</v>
      </c>
      <c r="AP444" s="92">
        <v>1</v>
      </c>
      <c r="AQ444" s="100">
        <v>380000</v>
      </c>
      <c r="AR444" s="92">
        <v>5</v>
      </c>
      <c r="AS444" s="92">
        <v>6</v>
      </c>
      <c r="AT444" s="92">
        <v>2</v>
      </c>
      <c r="AU444" s="92">
        <v>10</v>
      </c>
      <c r="AV444" s="99" t="s">
        <v>864</v>
      </c>
      <c r="AW444" s="1" t="s">
        <v>37</v>
      </c>
      <c r="AX444" s="1" t="s">
        <v>37</v>
      </c>
    </row>
    <row r="445" spans="40:50" x14ac:dyDescent="0.25">
      <c r="AN445" s="1" t="s">
        <v>273</v>
      </c>
      <c r="AO445" s="99" t="s">
        <v>877</v>
      </c>
      <c r="AP445" s="92">
        <v>16</v>
      </c>
      <c r="AQ445" s="100">
        <v>400000</v>
      </c>
      <c r="AR445" s="92">
        <v>6</v>
      </c>
      <c r="AS445" s="92">
        <v>7</v>
      </c>
      <c r="AT445" s="92">
        <v>2</v>
      </c>
      <c r="AU445" s="92">
        <v>10</v>
      </c>
      <c r="AV445" s="99" t="s">
        <v>878</v>
      </c>
      <c r="AW445" s="1" t="s">
        <v>37</v>
      </c>
      <c r="AX445" s="1" t="s">
        <v>37</v>
      </c>
    </row>
    <row r="446" spans="40:50" x14ac:dyDescent="0.25">
      <c r="AN446" s="1" t="s">
        <v>273</v>
      </c>
      <c r="AO446" s="5" t="s">
        <v>35</v>
      </c>
      <c r="AP446" s="1">
        <v>1</v>
      </c>
      <c r="AQ446" s="2">
        <v>430000</v>
      </c>
      <c r="AR446" s="1">
        <v>6</v>
      </c>
      <c r="AS446" s="1">
        <v>6</v>
      </c>
      <c r="AT446" s="1">
        <v>3</v>
      </c>
      <c r="AU446" s="1">
        <v>10</v>
      </c>
      <c r="AV446" s="5" t="s">
        <v>151</v>
      </c>
      <c r="AW446" s="1" t="s">
        <v>37</v>
      </c>
      <c r="AX446" s="1" t="s">
        <v>37</v>
      </c>
    </row>
    <row r="447" spans="40:50" x14ac:dyDescent="0.25">
      <c r="AN447" s="1" t="s">
        <v>210</v>
      </c>
      <c r="AO447" s="5"/>
      <c r="AP447" s="1"/>
      <c r="AQ447" s="2"/>
      <c r="AR447" s="1"/>
      <c r="AS447" s="1"/>
      <c r="AT447" s="1"/>
      <c r="AU447" s="1"/>
      <c r="AV447"/>
      <c r="AW447" s="1"/>
      <c r="AX447" s="1"/>
    </row>
    <row r="448" spans="40:50" x14ac:dyDescent="0.25">
      <c r="AN448" s="1" t="s">
        <v>210</v>
      </c>
      <c r="AO448" s="5" t="s">
        <v>209</v>
      </c>
      <c r="AP448" s="1">
        <v>16</v>
      </c>
      <c r="AQ448" s="2">
        <v>40000</v>
      </c>
      <c r="AR448" s="1">
        <v>6</v>
      </c>
      <c r="AS448" s="1">
        <v>3</v>
      </c>
      <c r="AT448" s="1">
        <v>3</v>
      </c>
      <c r="AU448" s="1">
        <v>7</v>
      </c>
      <c r="AV448" t="s">
        <v>647</v>
      </c>
      <c r="AW448" s="1" t="s">
        <v>22</v>
      </c>
      <c r="AX448" s="1" t="s">
        <v>26</v>
      </c>
    </row>
    <row r="449" spans="40:50" x14ac:dyDescent="0.25">
      <c r="AN449" s="1" t="s">
        <v>210</v>
      </c>
      <c r="AO449" s="5" t="s">
        <v>210</v>
      </c>
      <c r="AP449" s="1">
        <v>6</v>
      </c>
      <c r="AQ449" s="2">
        <v>110000</v>
      </c>
      <c r="AR449" s="1">
        <v>6</v>
      </c>
      <c r="AS449" s="1">
        <v>4</v>
      </c>
      <c r="AT449" s="1">
        <v>4</v>
      </c>
      <c r="AU449" s="1">
        <v>8</v>
      </c>
      <c r="AV449" t="s">
        <v>333</v>
      </c>
      <c r="AW449" s="1" t="s">
        <v>323</v>
      </c>
      <c r="AX449" s="1" t="s">
        <v>324</v>
      </c>
    </row>
    <row r="450" spans="40:50" x14ac:dyDescent="0.25">
      <c r="AN450" s="1" t="s">
        <v>210</v>
      </c>
      <c r="AO450" s="5" t="s">
        <v>46</v>
      </c>
      <c r="AP450" s="1">
        <v>11</v>
      </c>
      <c r="AQ450" s="2">
        <v>40000</v>
      </c>
      <c r="AR450" s="1">
        <v>6</v>
      </c>
      <c r="AS450" s="1">
        <v>3</v>
      </c>
      <c r="AT450" s="1">
        <v>3</v>
      </c>
      <c r="AU450" s="1">
        <v>7</v>
      </c>
      <c r="AV450" t="s">
        <v>65</v>
      </c>
      <c r="AW450" s="1" t="s">
        <v>22</v>
      </c>
      <c r="AX450" s="1" t="s">
        <v>26</v>
      </c>
    </row>
    <row r="451" spans="40:50" x14ac:dyDescent="0.25">
      <c r="AN451" s="1" t="s">
        <v>210</v>
      </c>
      <c r="AO451" s="5" t="s">
        <v>30</v>
      </c>
      <c r="AP451" s="1">
        <v>1</v>
      </c>
      <c r="AQ451" s="2">
        <v>110000</v>
      </c>
      <c r="AR451" s="1">
        <v>6</v>
      </c>
      <c r="AS451" s="1">
        <v>3</v>
      </c>
      <c r="AT451" s="1">
        <v>3</v>
      </c>
      <c r="AU451" s="1">
        <v>8</v>
      </c>
      <c r="AV451" s="5" t="s">
        <v>138</v>
      </c>
      <c r="AW451" s="1" t="s">
        <v>37</v>
      </c>
      <c r="AX451" s="1" t="s">
        <v>37</v>
      </c>
    </row>
    <row r="452" spans="40:50" x14ac:dyDescent="0.25">
      <c r="AN452" s="1" t="s">
        <v>210</v>
      </c>
      <c r="AO452" s="5" t="s">
        <v>97</v>
      </c>
      <c r="AP452" s="1">
        <v>1</v>
      </c>
      <c r="AQ452" s="2">
        <v>120000</v>
      </c>
      <c r="AR452" s="1">
        <v>6</v>
      </c>
      <c r="AS452" s="1">
        <v>3</v>
      </c>
      <c r="AT452" s="1">
        <v>3</v>
      </c>
      <c r="AU452" s="1">
        <v>8</v>
      </c>
      <c r="AV452" s="5" t="s">
        <v>98</v>
      </c>
      <c r="AW452" s="1" t="s">
        <v>37</v>
      </c>
      <c r="AX452" s="1" t="s">
        <v>37</v>
      </c>
    </row>
    <row r="453" spans="40:50" x14ac:dyDescent="0.25">
      <c r="AN453" s="1" t="s">
        <v>210</v>
      </c>
      <c r="AO453" s="5" t="s">
        <v>759</v>
      </c>
      <c r="AP453" s="1">
        <v>1</v>
      </c>
      <c r="AQ453" s="2">
        <v>160000</v>
      </c>
      <c r="AR453" s="1">
        <v>7</v>
      </c>
      <c r="AS453" s="1">
        <v>3</v>
      </c>
      <c r="AT453" s="1">
        <v>3</v>
      </c>
      <c r="AU453" s="1">
        <v>7</v>
      </c>
      <c r="AV453" s="5" t="s">
        <v>760</v>
      </c>
      <c r="AW453" s="1" t="s">
        <v>37</v>
      </c>
      <c r="AX453" s="1" t="s">
        <v>37</v>
      </c>
    </row>
    <row r="454" spans="40:50" x14ac:dyDescent="0.25">
      <c r="AN454" s="1" t="s">
        <v>210</v>
      </c>
      <c r="AO454" s="5" t="s">
        <v>114</v>
      </c>
      <c r="AP454" s="1">
        <v>1</v>
      </c>
      <c r="AQ454" s="2">
        <v>180000</v>
      </c>
      <c r="AR454" s="1">
        <v>8</v>
      </c>
      <c r="AS454" s="1">
        <v>3</v>
      </c>
      <c r="AT454" s="1">
        <v>3</v>
      </c>
      <c r="AU454" s="1">
        <v>7</v>
      </c>
      <c r="AV454" s="5" t="s">
        <v>146</v>
      </c>
      <c r="AW454" s="1" t="s">
        <v>37</v>
      </c>
      <c r="AX454" s="1" t="s">
        <v>37</v>
      </c>
    </row>
    <row r="455" spans="40:50" x14ac:dyDescent="0.25">
      <c r="AN455" s="1" t="s">
        <v>210</v>
      </c>
      <c r="AO455" s="5" t="s">
        <v>294</v>
      </c>
      <c r="AP455" s="1">
        <v>1</v>
      </c>
      <c r="AQ455" s="2">
        <v>240000</v>
      </c>
      <c r="AR455" s="1">
        <v>8</v>
      </c>
      <c r="AS455" s="1">
        <v>4</v>
      </c>
      <c r="AT455" s="1">
        <v>3</v>
      </c>
      <c r="AU455" s="1">
        <v>8</v>
      </c>
      <c r="AV455" s="5" t="s">
        <v>166</v>
      </c>
      <c r="AW455" s="1" t="s">
        <v>37</v>
      </c>
      <c r="AX455" s="1" t="s">
        <v>37</v>
      </c>
    </row>
    <row r="456" spans="40:50" x14ac:dyDescent="0.25">
      <c r="AN456" s="1" t="s">
        <v>210</v>
      </c>
      <c r="AO456" s="5" t="s">
        <v>778</v>
      </c>
      <c r="AP456" s="1">
        <v>1</v>
      </c>
      <c r="AQ456" s="2">
        <v>280000</v>
      </c>
      <c r="AR456" s="1">
        <v>7</v>
      </c>
      <c r="AS456" s="1">
        <v>3</v>
      </c>
      <c r="AT456" s="1">
        <v>4</v>
      </c>
      <c r="AU456" s="1">
        <v>8</v>
      </c>
      <c r="AV456" s="5" t="s">
        <v>779</v>
      </c>
      <c r="AW456" s="1" t="s">
        <v>37</v>
      </c>
      <c r="AX456" s="1" t="s">
        <v>37</v>
      </c>
    </row>
    <row r="457" spans="40:50" x14ac:dyDescent="0.25">
      <c r="AN457" s="1" t="s">
        <v>210</v>
      </c>
      <c r="AO457" s="5" t="s">
        <v>95</v>
      </c>
      <c r="AP457" s="1">
        <v>1</v>
      </c>
      <c r="AQ457" s="2">
        <v>390000</v>
      </c>
      <c r="AR457" s="1">
        <v>6</v>
      </c>
      <c r="AS457" s="1">
        <v>5</v>
      </c>
      <c r="AT457" s="1">
        <v>4</v>
      </c>
      <c r="AU457" s="1">
        <v>9</v>
      </c>
      <c r="AV457" s="5" t="s">
        <v>96</v>
      </c>
      <c r="AW457" s="1" t="s">
        <v>37</v>
      </c>
      <c r="AX457" s="1" t="s">
        <v>37</v>
      </c>
    </row>
    <row r="458" spans="40:50" x14ac:dyDescent="0.25">
      <c r="AN458" s="1" t="s">
        <v>210</v>
      </c>
      <c r="AO458" s="99" t="s">
        <v>867</v>
      </c>
      <c r="AP458" s="92">
        <v>1</v>
      </c>
      <c r="AQ458" s="100">
        <v>380000</v>
      </c>
      <c r="AR458" s="92">
        <v>5</v>
      </c>
      <c r="AS458" s="92">
        <v>6</v>
      </c>
      <c r="AT458" s="92">
        <v>2</v>
      </c>
      <c r="AU458" s="92">
        <v>10</v>
      </c>
      <c r="AV458" s="99" t="s">
        <v>864</v>
      </c>
      <c r="AW458" s="1" t="s">
        <v>37</v>
      </c>
      <c r="AX458" s="1" t="s">
        <v>37</v>
      </c>
    </row>
    <row r="459" spans="40:50" x14ac:dyDescent="0.25">
      <c r="AN459" s="1" t="s">
        <v>210</v>
      </c>
      <c r="AO459" s="99" t="s">
        <v>877</v>
      </c>
      <c r="AP459" s="92">
        <v>16</v>
      </c>
      <c r="AQ459" s="100">
        <v>400000</v>
      </c>
      <c r="AR459" s="92">
        <v>6</v>
      </c>
      <c r="AS459" s="92">
        <v>7</v>
      </c>
      <c r="AT459" s="92">
        <v>2</v>
      </c>
      <c r="AU459" s="92">
        <v>10</v>
      </c>
      <c r="AV459" s="99" t="s">
        <v>878</v>
      </c>
      <c r="AW459" s="1" t="s">
        <v>37</v>
      </c>
      <c r="AX459" s="1" t="s">
        <v>37</v>
      </c>
    </row>
    <row r="460" spans="40:50" x14ac:dyDescent="0.25">
      <c r="AN460" s="1" t="s">
        <v>210</v>
      </c>
      <c r="AO460" s="5" t="s">
        <v>35</v>
      </c>
      <c r="AP460" s="1">
        <v>1</v>
      </c>
      <c r="AQ460" s="2">
        <v>430000</v>
      </c>
      <c r="AR460" s="1">
        <v>6</v>
      </c>
      <c r="AS460" s="1">
        <v>6</v>
      </c>
      <c r="AT460" s="1">
        <v>3</v>
      </c>
      <c r="AU460" s="1">
        <v>10</v>
      </c>
      <c r="AV460" s="5" t="s">
        <v>151</v>
      </c>
      <c r="AW460" s="1" t="s">
        <v>37</v>
      </c>
      <c r="AX460" s="1" t="s">
        <v>37</v>
      </c>
    </row>
    <row r="461" spans="40:50" x14ac:dyDescent="0.25">
      <c r="AN461" s="1" t="s">
        <v>665</v>
      </c>
      <c r="AO461" s="5"/>
      <c r="AP461" s="1"/>
      <c r="AQ461" s="2"/>
      <c r="AR461" s="1"/>
      <c r="AS461" s="1"/>
      <c r="AT461" s="1"/>
      <c r="AU461" s="1"/>
      <c r="AV461"/>
      <c r="AW461" s="1"/>
      <c r="AX461" s="1"/>
    </row>
    <row r="462" spans="40:50" x14ac:dyDescent="0.25">
      <c r="AN462" s="1" t="s">
        <v>665</v>
      </c>
      <c r="AO462" s="5" t="s">
        <v>70</v>
      </c>
      <c r="AP462" s="1">
        <v>16</v>
      </c>
      <c r="AQ462" s="2">
        <v>70000</v>
      </c>
      <c r="AR462" s="1">
        <v>7</v>
      </c>
      <c r="AS462" s="1">
        <v>3</v>
      </c>
      <c r="AT462" s="1">
        <v>4</v>
      </c>
      <c r="AU462" s="1">
        <v>7</v>
      </c>
      <c r="AV462" t="s">
        <v>647</v>
      </c>
      <c r="AW462" s="1" t="s">
        <v>24</v>
      </c>
      <c r="AX462" s="1" t="s">
        <v>28</v>
      </c>
    </row>
    <row r="463" spans="40:50" x14ac:dyDescent="0.25">
      <c r="AN463" s="1" t="s">
        <v>665</v>
      </c>
      <c r="AO463" s="5" t="s">
        <v>4</v>
      </c>
      <c r="AP463" s="1">
        <v>4</v>
      </c>
      <c r="AQ463" s="2">
        <v>90000</v>
      </c>
      <c r="AR463" s="1">
        <v>8</v>
      </c>
      <c r="AS463" s="1">
        <v>2</v>
      </c>
      <c r="AT463" s="1">
        <v>4</v>
      </c>
      <c r="AU463" s="1">
        <v>7</v>
      </c>
      <c r="AV463" t="s">
        <v>308</v>
      </c>
      <c r="AW463" s="1" t="s">
        <v>24</v>
      </c>
      <c r="AX463" s="1" t="s">
        <v>28</v>
      </c>
    </row>
    <row r="464" spans="40:50" x14ac:dyDescent="0.25">
      <c r="AN464" s="1" t="s">
        <v>665</v>
      </c>
      <c r="AO464" s="5" t="s">
        <v>3</v>
      </c>
      <c r="AP464" s="1">
        <v>2</v>
      </c>
      <c r="AQ464" s="2">
        <v>90000</v>
      </c>
      <c r="AR464" s="1">
        <v>7</v>
      </c>
      <c r="AS464" s="1">
        <v>3</v>
      </c>
      <c r="AT464" s="1">
        <v>4</v>
      </c>
      <c r="AU464" s="1">
        <v>7</v>
      </c>
      <c r="AV464" t="s">
        <v>223</v>
      </c>
      <c r="AW464" s="1" t="s">
        <v>45</v>
      </c>
      <c r="AX464" s="1" t="s">
        <v>61</v>
      </c>
    </row>
    <row r="465" spans="40:50" x14ac:dyDescent="0.25">
      <c r="AN465" s="1" t="s">
        <v>665</v>
      </c>
      <c r="AO465" s="5" t="s">
        <v>211</v>
      </c>
      <c r="AP465" s="1">
        <v>2</v>
      </c>
      <c r="AQ465" s="2">
        <v>120000</v>
      </c>
      <c r="AR465" s="1">
        <v>8</v>
      </c>
      <c r="AS465" s="1">
        <v>3</v>
      </c>
      <c r="AT465" s="1">
        <v>4</v>
      </c>
      <c r="AU465" s="1">
        <v>7</v>
      </c>
      <c r="AV465" t="s">
        <v>309</v>
      </c>
      <c r="AW465" s="1" t="s">
        <v>24</v>
      </c>
      <c r="AX465" s="1" t="s">
        <v>28</v>
      </c>
    </row>
    <row r="466" spans="40:50" x14ac:dyDescent="0.25">
      <c r="AN466" s="1" t="s">
        <v>665</v>
      </c>
      <c r="AO466" s="5" t="s">
        <v>255</v>
      </c>
      <c r="AP466" s="1">
        <v>1</v>
      </c>
      <c r="AQ466" s="2">
        <v>120000</v>
      </c>
      <c r="AR466" s="1">
        <v>2</v>
      </c>
      <c r="AS466" s="1">
        <v>6</v>
      </c>
      <c r="AT466" s="1">
        <v>1</v>
      </c>
      <c r="AU466" s="1">
        <v>10</v>
      </c>
      <c r="AV466" t="s">
        <v>334</v>
      </c>
      <c r="AW466" s="1" t="s">
        <v>61</v>
      </c>
      <c r="AX466" s="1" t="s">
        <v>45</v>
      </c>
    </row>
    <row r="467" spans="40:50" x14ac:dyDescent="0.25">
      <c r="AN467" s="1" t="s">
        <v>665</v>
      </c>
      <c r="AO467" s="5" t="s">
        <v>46</v>
      </c>
      <c r="AP467" s="1">
        <v>11</v>
      </c>
      <c r="AQ467" s="2">
        <v>70000</v>
      </c>
      <c r="AR467" s="1">
        <v>7</v>
      </c>
      <c r="AS467" s="1">
        <v>3</v>
      </c>
      <c r="AT467" s="1">
        <v>4</v>
      </c>
      <c r="AU467" s="1">
        <v>7</v>
      </c>
      <c r="AV467" t="s">
        <v>65</v>
      </c>
      <c r="AW467" s="1" t="s">
        <v>24</v>
      </c>
      <c r="AX467" s="1" t="s">
        <v>28</v>
      </c>
    </row>
    <row r="468" spans="40:50" x14ac:dyDescent="0.25">
      <c r="AN468" s="1" t="s">
        <v>665</v>
      </c>
      <c r="AO468" s="99" t="s">
        <v>826</v>
      </c>
      <c r="AP468" s="92">
        <v>1</v>
      </c>
      <c r="AQ468" s="100">
        <v>130000</v>
      </c>
      <c r="AR468" s="92">
        <v>7</v>
      </c>
      <c r="AS468" s="92">
        <v>2</v>
      </c>
      <c r="AT468" s="92">
        <v>3</v>
      </c>
      <c r="AU468" s="92">
        <v>6</v>
      </c>
      <c r="AV468" s="65" t="s">
        <v>827</v>
      </c>
      <c r="AW468" s="1" t="s">
        <v>37</v>
      </c>
      <c r="AX468" s="1" t="s">
        <v>37</v>
      </c>
    </row>
    <row r="469" spans="40:50" x14ac:dyDescent="0.25">
      <c r="AN469" s="1" t="s">
        <v>665</v>
      </c>
      <c r="AO469" s="5" t="s">
        <v>100</v>
      </c>
      <c r="AP469" s="1">
        <v>1</v>
      </c>
      <c r="AQ469" s="2">
        <v>150000</v>
      </c>
      <c r="AR469" s="1">
        <v>7</v>
      </c>
      <c r="AS469" s="1">
        <v>3</v>
      </c>
      <c r="AT469" s="1">
        <v>4</v>
      </c>
      <c r="AU469" s="1">
        <v>7</v>
      </c>
      <c r="AV469" s="5" t="s">
        <v>101</v>
      </c>
      <c r="AW469" s="1" t="s">
        <v>37</v>
      </c>
      <c r="AX469" s="1" t="s">
        <v>37</v>
      </c>
    </row>
    <row r="470" spans="40:50" x14ac:dyDescent="0.25">
      <c r="AN470" s="1" t="s">
        <v>665</v>
      </c>
      <c r="AO470" s="5" t="s">
        <v>31</v>
      </c>
      <c r="AP470" s="1">
        <v>1</v>
      </c>
      <c r="AQ470" s="2">
        <v>150000</v>
      </c>
      <c r="AR470" s="1">
        <v>5</v>
      </c>
      <c r="AS470" s="1">
        <v>4</v>
      </c>
      <c r="AT470" s="1">
        <v>3</v>
      </c>
      <c r="AU470" s="1">
        <v>8</v>
      </c>
      <c r="AV470" s="5" t="s">
        <v>167</v>
      </c>
      <c r="AW470" s="1" t="s">
        <v>37</v>
      </c>
      <c r="AX470" s="1" t="s">
        <v>37</v>
      </c>
    </row>
    <row r="471" spans="40:50" x14ac:dyDescent="0.25">
      <c r="AN471" s="1" t="s">
        <v>665</v>
      </c>
      <c r="AO471" s="99" t="s">
        <v>822</v>
      </c>
      <c r="AP471" s="92">
        <v>1</v>
      </c>
      <c r="AQ471" s="100">
        <v>160000</v>
      </c>
      <c r="AR471" s="92">
        <v>7</v>
      </c>
      <c r="AS471" s="92">
        <v>2</v>
      </c>
      <c r="AT471" s="92">
        <v>4</v>
      </c>
      <c r="AU471" s="92">
        <v>7</v>
      </c>
      <c r="AV471" s="99" t="s">
        <v>823</v>
      </c>
      <c r="AW471" s="1" t="s">
        <v>37</v>
      </c>
      <c r="AX471" s="1" t="s">
        <v>37</v>
      </c>
    </row>
    <row r="472" spans="40:50" x14ac:dyDescent="0.25">
      <c r="AN472" s="1" t="s">
        <v>665</v>
      </c>
      <c r="AO472" s="5" t="s">
        <v>102</v>
      </c>
      <c r="AP472" s="1">
        <v>1</v>
      </c>
      <c r="AQ472" s="2">
        <v>200000</v>
      </c>
      <c r="AR472" s="1">
        <v>8</v>
      </c>
      <c r="AS472" s="1">
        <v>3</v>
      </c>
      <c r="AT472" s="1">
        <v>4</v>
      </c>
      <c r="AU472" s="1">
        <v>7</v>
      </c>
      <c r="AV472" s="5" t="s">
        <v>103</v>
      </c>
      <c r="AW472" s="1" t="s">
        <v>37</v>
      </c>
      <c r="AX472" s="1" t="s">
        <v>37</v>
      </c>
    </row>
    <row r="473" spans="40:50" x14ac:dyDescent="0.25">
      <c r="AN473" s="1" t="s">
        <v>665</v>
      </c>
      <c r="AO473" s="99" t="s">
        <v>839</v>
      </c>
      <c r="AP473" s="92">
        <v>1</v>
      </c>
      <c r="AQ473" s="100">
        <v>240000</v>
      </c>
      <c r="AR473" s="92">
        <v>7</v>
      </c>
      <c r="AS473" s="92">
        <v>3</v>
      </c>
      <c r="AT473" s="92">
        <v>4</v>
      </c>
      <c r="AU473" s="92">
        <v>7</v>
      </c>
      <c r="AV473" s="99" t="s">
        <v>838</v>
      </c>
      <c r="AW473" s="1" t="s">
        <v>37</v>
      </c>
      <c r="AX473" s="1" t="s">
        <v>37</v>
      </c>
    </row>
    <row r="474" spans="40:50" x14ac:dyDescent="0.25">
      <c r="AN474" s="1" t="s">
        <v>665</v>
      </c>
      <c r="AO474" s="5" t="s">
        <v>115</v>
      </c>
      <c r="AP474" s="1">
        <v>1</v>
      </c>
      <c r="AQ474" s="2">
        <v>260000</v>
      </c>
      <c r="AR474" s="1">
        <v>8</v>
      </c>
      <c r="AS474" s="1">
        <v>3</v>
      </c>
      <c r="AT474" s="1">
        <v>5</v>
      </c>
      <c r="AU474" s="1">
        <v>7</v>
      </c>
      <c r="AV474" s="5" t="s">
        <v>147</v>
      </c>
      <c r="AW474" s="1" t="s">
        <v>37</v>
      </c>
      <c r="AX474" s="1" t="s">
        <v>37</v>
      </c>
    </row>
    <row r="475" spans="40:50" x14ac:dyDescent="0.25">
      <c r="AN475" s="1" t="s">
        <v>665</v>
      </c>
      <c r="AO475" s="5" t="s">
        <v>33</v>
      </c>
      <c r="AP475" s="1">
        <v>1</v>
      </c>
      <c r="AQ475" s="2">
        <v>270000</v>
      </c>
      <c r="AR475" s="1">
        <v>6</v>
      </c>
      <c r="AS475" s="1">
        <v>4</v>
      </c>
      <c r="AT475" s="1">
        <v>3</v>
      </c>
      <c r="AU475" s="1">
        <v>8</v>
      </c>
      <c r="AV475" s="5" t="s">
        <v>168</v>
      </c>
      <c r="AW475" s="1" t="s">
        <v>37</v>
      </c>
      <c r="AX475" s="1" t="s">
        <v>37</v>
      </c>
    </row>
    <row r="476" spans="40:50" x14ac:dyDescent="0.25">
      <c r="AN476" s="1" t="s">
        <v>665</v>
      </c>
      <c r="AO476" s="99" t="s">
        <v>834</v>
      </c>
      <c r="AP476" s="92">
        <v>1</v>
      </c>
      <c r="AQ476" s="100">
        <v>280000</v>
      </c>
      <c r="AR476" s="92">
        <v>5</v>
      </c>
      <c r="AS476" s="92">
        <v>5</v>
      </c>
      <c r="AT476" s="92">
        <v>2</v>
      </c>
      <c r="AU476" s="92">
        <v>9</v>
      </c>
      <c r="AV476" s="99" t="s">
        <v>835</v>
      </c>
      <c r="AW476" s="1" t="s">
        <v>37</v>
      </c>
      <c r="AX476" s="1" t="s">
        <v>37</v>
      </c>
    </row>
    <row r="477" spans="40:50" x14ac:dyDescent="0.25">
      <c r="AN477" s="1" t="s">
        <v>665</v>
      </c>
      <c r="AO477" s="99" t="s">
        <v>830</v>
      </c>
      <c r="AP477" s="92">
        <v>1</v>
      </c>
      <c r="AQ477" s="100">
        <v>300000</v>
      </c>
      <c r="AR477" s="92">
        <v>3</v>
      </c>
      <c r="AS477" s="92">
        <v>5</v>
      </c>
      <c r="AT477" s="92">
        <v>1</v>
      </c>
      <c r="AU477" s="92">
        <v>10</v>
      </c>
      <c r="AV477" s="99" t="s">
        <v>831</v>
      </c>
      <c r="AW477" s="1" t="s">
        <v>37</v>
      </c>
      <c r="AX477" s="1" t="s">
        <v>37</v>
      </c>
    </row>
    <row r="478" spans="40:50" x14ac:dyDescent="0.25">
      <c r="AN478" s="1" t="s">
        <v>665</v>
      </c>
      <c r="AO478" s="99" t="s">
        <v>867</v>
      </c>
      <c r="AP478" s="92">
        <v>1</v>
      </c>
      <c r="AQ478" s="100">
        <v>380000</v>
      </c>
      <c r="AR478" s="92">
        <v>5</v>
      </c>
      <c r="AS478" s="92">
        <v>6</v>
      </c>
      <c r="AT478" s="92">
        <v>2</v>
      </c>
      <c r="AU478" s="92">
        <v>10</v>
      </c>
      <c r="AV478" s="99" t="s">
        <v>864</v>
      </c>
      <c r="AW478" s="1" t="s">
        <v>37</v>
      </c>
      <c r="AX478" s="1" t="s">
        <v>37</v>
      </c>
    </row>
    <row r="479" spans="40:50" x14ac:dyDescent="0.25">
      <c r="AN479" s="1" t="s">
        <v>665</v>
      </c>
      <c r="AO479" s="5" t="s">
        <v>128</v>
      </c>
      <c r="AP479" s="1">
        <v>1</v>
      </c>
      <c r="AQ479" s="2">
        <v>390000</v>
      </c>
      <c r="AR479" s="1">
        <v>7</v>
      </c>
      <c r="AS479" s="1">
        <v>3</v>
      </c>
      <c r="AT479" s="1">
        <v>4</v>
      </c>
      <c r="AU479" s="1">
        <v>8</v>
      </c>
      <c r="AV479" s="5" t="s">
        <v>173</v>
      </c>
      <c r="AW479" s="1" t="s">
        <v>37</v>
      </c>
      <c r="AX479" s="1" t="s">
        <v>37</v>
      </c>
    </row>
    <row r="480" spans="40:50" x14ac:dyDescent="0.25">
      <c r="AN480" s="1" t="s">
        <v>665</v>
      </c>
      <c r="AO480" s="5" t="s">
        <v>129</v>
      </c>
      <c r="AP480" s="1">
        <v>1</v>
      </c>
      <c r="AQ480" s="1" t="s">
        <v>37</v>
      </c>
      <c r="AR480" s="1">
        <v>7</v>
      </c>
      <c r="AS480" s="1">
        <v>3</v>
      </c>
      <c r="AT480" s="1">
        <v>5</v>
      </c>
      <c r="AU480" s="1">
        <v>7</v>
      </c>
      <c r="AV480" s="5" t="s">
        <v>174</v>
      </c>
      <c r="AW480" s="1" t="s">
        <v>37</v>
      </c>
      <c r="AX480" s="1" t="s">
        <v>37</v>
      </c>
    </row>
    <row r="481" spans="40:50" x14ac:dyDescent="0.25">
      <c r="AN481" s="1" t="s">
        <v>665</v>
      </c>
      <c r="AO481" s="99" t="s">
        <v>877</v>
      </c>
      <c r="AP481" s="92">
        <v>16</v>
      </c>
      <c r="AQ481" s="100">
        <v>400000</v>
      </c>
      <c r="AR481" s="92">
        <v>6</v>
      </c>
      <c r="AS481" s="92">
        <v>7</v>
      </c>
      <c r="AT481" s="92">
        <v>2</v>
      </c>
      <c r="AU481" s="92">
        <v>10</v>
      </c>
      <c r="AV481" s="99" t="s">
        <v>878</v>
      </c>
      <c r="AW481" s="1" t="s">
        <v>37</v>
      </c>
      <c r="AX481" s="1" t="s">
        <v>37</v>
      </c>
    </row>
    <row r="482" spans="40:50" x14ac:dyDescent="0.25">
      <c r="AN482" s="1" t="s">
        <v>665</v>
      </c>
      <c r="AO482" s="5" t="s">
        <v>35</v>
      </c>
      <c r="AP482" s="1">
        <v>1</v>
      </c>
      <c r="AQ482" s="2">
        <v>430000</v>
      </c>
      <c r="AR482" s="1">
        <v>6</v>
      </c>
      <c r="AS482" s="1">
        <v>6</v>
      </c>
      <c r="AT482" s="1">
        <v>3</v>
      </c>
      <c r="AU482" s="1">
        <v>10</v>
      </c>
      <c r="AV482" s="5" t="s">
        <v>151</v>
      </c>
      <c r="AW482" s="1" t="s">
        <v>37</v>
      </c>
      <c r="AX482" s="1" t="s">
        <v>37</v>
      </c>
    </row>
    <row r="483" spans="40:50" x14ac:dyDescent="0.25">
      <c r="AN483" s="1" t="s">
        <v>666</v>
      </c>
      <c r="AO483" s="5"/>
      <c r="AP483" s="1"/>
      <c r="AQ483" s="2"/>
      <c r="AR483" s="1"/>
      <c r="AS483" s="1"/>
      <c r="AT483" s="1"/>
      <c r="AU483" s="1"/>
      <c r="AV483"/>
      <c r="AW483" s="1"/>
      <c r="AX483" s="1"/>
    </row>
    <row r="484" spans="40:50" x14ac:dyDescent="0.25">
      <c r="AN484" s="1" t="s">
        <v>666</v>
      </c>
      <c r="AO484" s="5" t="s">
        <v>370</v>
      </c>
      <c r="AP484" s="1">
        <v>16</v>
      </c>
      <c r="AQ484" s="2">
        <v>70000</v>
      </c>
      <c r="AR484" s="1">
        <v>6</v>
      </c>
      <c r="AS484" s="1">
        <v>3</v>
      </c>
      <c r="AT484" s="1">
        <v>4</v>
      </c>
      <c r="AU484" s="1">
        <v>8</v>
      </c>
      <c r="AV484" t="s">
        <v>647</v>
      </c>
      <c r="AW484" s="1" t="s">
        <v>24</v>
      </c>
      <c r="AX484" s="1" t="s">
        <v>634</v>
      </c>
    </row>
    <row r="485" spans="40:50" x14ac:dyDescent="0.25">
      <c r="AN485" s="1" t="s">
        <v>666</v>
      </c>
      <c r="AO485" s="5" t="s">
        <v>371</v>
      </c>
      <c r="AP485" s="1">
        <v>2</v>
      </c>
      <c r="AQ485" s="2">
        <v>90000</v>
      </c>
      <c r="AR485" s="1">
        <v>6</v>
      </c>
      <c r="AS485" s="1">
        <v>3</v>
      </c>
      <c r="AT485" s="1">
        <v>4</v>
      </c>
      <c r="AU485" s="1">
        <v>8</v>
      </c>
      <c r="AV485" t="s">
        <v>474</v>
      </c>
      <c r="AW485" s="1" t="s">
        <v>45</v>
      </c>
      <c r="AX485" s="1" t="s">
        <v>635</v>
      </c>
    </row>
    <row r="486" spans="40:50" x14ac:dyDescent="0.25">
      <c r="AN486" s="1" t="s">
        <v>666</v>
      </c>
      <c r="AO486" s="5" t="s">
        <v>372</v>
      </c>
      <c r="AP486" s="1">
        <v>4</v>
      </c>
      <c r="AQ486" s="2">
        <v>90000</v>
      </c>
      <c r="AR486" s="1">
        <v>8</v>
      </c>
      <c r="AS486" s="1">
        <v>3</v>
      </c>
      <c r="AT486" s="1">
        <v>4</v>
      </c>
      <c r="AU486" s="1">
        <v>7</v>
      </c>
      <c r="AV486" t="s">
        <v>475</v>
      </c>
      <c r="AW486" s="1" t="s">
        <v>24</v>
      </c>
      <c r="AX486" s="1" t="s">
        <v>634</v>
      </c>
    </row>
    <row r="487" spans="40:50" x14ac:dyDescent="0.25">
      <c r="AN487" s="1" t="s">
        <v>666</v>
      </c>
      <c r="AO487" s="5" t="s">
        <v>5</v>
      </c>
      <c r="AP487" s="1">
        <v>2</v>
      </c>
      <c r="AQ487" s="2">
        <v>100000</v>
      </c>
      <c r="AR487" s="1">
        <v>7</v>
      </c>
      <c r="AS487" s="1">
        <v>3</v>
      </c>
      <c r="AT487" s="1">
        <v>4</v>
      </c>
      <c r="AU487" s="1">
        <v>8</v>
      </c>
      <c r="AV487" t="s">
        <v>476</v>
      </c>
      <c r="AW487" s="1" t="s">
        <v>24</v>
      </c>
      <c r="AX487" s="1" t="s">
        <v>634</v>
      </c>
    </row>
    <row r="488" spans="40:50" x14ac:dyDescent="0.25">
      <c r="AN488" s="1" t="s">
        <v>666</v>
      </c>
      <c r="AO488" s="5" t="s">
        <v>380</v>
      </c>
      <c r="AP488" s="1">
        <v>11</v>
      </c>
      <c r="AQ488" s="2">
        <v>70000</v>
      </c>
      <c r="AR488" s="1">
        <v>6</v>
      </c>
      <c r="AS488" s="1">
        <v>3</v>
      </c>
      <c r="AT488" s="1">
        <v>4</v>
      </c>
      <c r="AU488" s="1">
        <v>8</v>
      </c>
      <c r="AV488" t="s">
        <v>478</v>
      </c>
      <c r="AW488" s="1" t="s">
        <v>24</v>
      </c>
      <c r="AX488" s="1" t="s">
        <v>634</v>
      </c>
    </row>
    <row r="489" spans="40:50" x14ac:dyDescent="0.25">
      <c r="AN489" s="1" t="s">
        <v>666</v>
      </c>
      <c r="AO489" s="5" t="s">
        <v>377</v>
      </c>
      <c r="AP489" s="1">
        <v>1</v>
      </c>
      <c r="AQ489" s="2">
        <v>150000</v>
      </c>
      <c r="AR489" s="1">
        <v>7</v>
      </c>
      <c r="AS489" s="1">
        <v>3</v>
      </c>
      <c r="AT489" s="1">
        <v>4</v>
      </c>
      <c r="AU489" s="1">
        <v>7</v>
      </c>
      <c r="AV489" s="5" t="s">
        <v>573</v>
      </c>
      <c r="AW489" s="1" t="s">
        <v>37</v>
      </c>
      <c r="AX489" s="1" t="s">
        <v>37</v>
      </c>
    </row>
    <row r="490" spans="40:50" x14ac:dyDescent="0.25">
      <c r="AN490" s="1" t="s">
        <v>666</v>
      </c>
      <c r="AO490" s="5" t="s">
        <v>355</v>
      </c>
      <c r="AP490" s="1">
        <v>1</v>
      </c>
      <c r="AQ490" s="2">
        <v>160000</v>
      </c>
      <c r="AR490" s="1">
        <v>8</v>
      </c>
      <c r="AS490" s="1">
        <v>3</v>
      </c>
      <c r="AT490" s="1">
        <v>4</v>
      </c>
      <c r="AU490" s="1">
        <v>7</v>
      </c>
      <c r="AV490" s="5" t="s">
        <v>489</v>
      </c>
      <c r="AW490" s="1" t="s">
        <v>37</v>
      </c>
      <c r="AX490" s="1" t="s">
        <v>37</v>
      </c>
    </row>
    <row r="491" spans="40:50" x14ac:dyDescent="0.25">
      <c r="AN491" s="1" t="s">
        <v>666</v>
      </c>
      <c r="AO491" s="99" t="s">
        <v>736</v>
      </c>
      <c r="AP491" s="92">
        <v>1</v>
      </c>
      <c r="AQ491" s="100">
        <v>160000</v>
      </c>
      <c r="AR491" s="92">
        <v>6</v>
      </c>
      <c r="AS491" s="92">
        <v>3</v>
      </c>
      <c r="AT491" s="92">
        <v>4</v>
      </c>
      <c r="AU491" s="92">
        <v>8</v>
      </c>
      <c r="AV491" s="65" t="s">
        <v>730</v>
      </c>
      <c r="AW491" s="1" t="s">
        <v>37</v>
      </c>
      <c r="AX491" s="1" t="s">
        <v>37</v>
      </c>
    </row>
    <row r="492" spans="40:50" x14ac:dyDescent="0.25">
      <c r="AN492" s="1" t="s">
        <v>666</v>
      </c>
      <c r="AO492" s="5" t="s">
        <v>374</v>
      </c>
      <c r="AP492" s="1">
        <v>1</v>
      </c>
      <c r="AQ492" s="2">
        <v>180000</v>
      </c>
      <c r="AR492" s="1">
        <v>6</v>
      </c>
      <c r="AS492" s="1">
        <v>3</v>
      </c>
      <c r="AT492" s="1">
        <v>4</v>
      </c>
      <c r="AU492" s="1">
        <v>8</v>
      </c>
      <c r="AV492" s="5" t="s">
        <v>494</v>
      </c>
      <c r="AW492" s="1" t="s">
        <v>37</v>
      </c>
      <c r="AX492" s="1" t="s">
        <v>37</v>
      </c>
    </row>
    <row r="493" spans="40:50" x14ac:dyDescent="0.25">
      <c r="AN493" s="1" t="s">
        <v>666</v>
      </c>
      <c r="AO493" s="5" t="s">
        <v>373</v>
      </c>
      <c r="AP493" s="1">
        <v>1</v>
      </c>
      <c r="AQ493" s="2">
        <v>200000</v>
      </c>
      <c r="AR493" s="1">
        <v>8</v>
      </c>
      <c r="AS493" s="1">
        <v>3</v>
      </c>
      <c r="AT493" s="1">
        <v>4</v>
      </c>
      <c r="AU493" s="1">
        <v>7</v>
      </c>
      <c r="AV493" s="5" t="s">
        <v>495</v>
      </c>
      <c r="AW493" s="1" t="s">
        <v>37</v>
      </c>
      <c r="AX493" s="1" t="s">
        <v>37</v>
      </c>
    </row>
    <row r="494" spans="40:50" x14ac:dyDescent="0.25">
      <c r="AN494" s="1" t="s">
        <v>666</v>
      </c>
      <c r="AO494" s="5" t="s">
        <v>375</v>
      </c>
      <c r="AP494" s="1">
        <v>1</v>
      </c>
      <c r="AQ494" s="2">
        <v>230000</v>
      </c>
      <c r="AR494" s="1">
        <v>7</v>
      </c>
      <c r="AS494" s="1">
        <v>4</v>
      </c>
      <c r="AT494" s="1">
        <v>4</v>
      </c>
      <c r="AU494" s="1">
        <v>8</v>
      </c>
      <c r="AV494" s="5" t="s">
        <v>499</v>
      </c>
      <c r="AW494" s="1" t="s">
        <v>37</v>
      </c>
      <c r="AX494" s="1" t="s">
        <v>37</v>
      </c>
    </row>
    <row r="495" spans="40:50" x14ac:dyDescent="0.25">
      <c r="AN495" s="1" t="s">
        <v>666</v>
      </c>
      <c r="AO495" s="5" t="s">
        <v>376</v>
      </c>
      <c r="AP495" s="1">
        <v>1</v>
      </c>
      <c r="AQ495" s="2">
        <v>270000</v>
      </c>
      <c r="AR495" s="1">
        <v>6</v>
      </c>
      <c r="AS495" s="1">
        <v>4</v>
      </c>
      <c r="AT495" s="1">
        <v>3</v>
      </c>
      <c r="AU495" s="1">
        <v>8</v>
      </c>
      <c r="AV495" s="5" t="s">
        <v>502</v>
      </c>
      <c r="AW495" s="1" t="s">
        <v>37</v>
      </c>
      <c r="AX495" s="1" t="s">
        <v>37</v>
      </c>
    </row>
    <row r="496" spans="40:50" x14ac:dyDescent="0.25">
      <c r="AN496" s="1" t="s">
        <v>666</v>
      </c>
      <c r="AO496" s="99" t="s">
        <v>867</v>
      </c>
      <c r="AP496" s="92">
        <v>1</v>
      </c>
      <c r="AQ496" s="100">
        <v>380000</v>
      </c>
      <c r="AR496" s="92">
        <v>5</v>
      </c>
      <c r="AS496" s="92">
        <v>6</v>
      </c>
      <c r="AT496" s="92">
        <v>2</v>
      </c>
      <c r="AU496" s="92">
        <v>10</v>
      </c>
      <c r="AV496" s="99" t="s">
        <v>865</v>
      </c>
      <c r="AW496" s="1" t="s">
        <v>37</v>
      </c>
      <c r="AX496" s="1" t="s">
        <v>37</v>
      </c>
    </row>
    <row r="497" spans="40:50" x14ac:dyDescent="0.25">
      <c r="AN497" s="1" t="s">
        <v>666</v>
      </c>
      <c r="AO497" s="5" t="s">
        <v>841</v>
      </c>
      <c r="AP497" s="1">
        <v>1</v>
      </c>
      <c r="AQ497" s="2">
        <v>390000</v>
      </c>
      <c r="AR497" s="1">
        <v>7</v>
      </c>
      <c r="AS497" s="1">
        <v>3</v>
      </c>
      <c r="AT497" s="1">
        <v>4</v>
      </c>
      <c r="AU497" s="1">
        <v>8</v>
      </c>
      <c r="AV497" s="5" t="s">
        <v>503</v>
      </c>
      <c r="AW497" s="1" t="s">
        <v>37</v>
      </c>
      <c r="AX497" s="1" t="s">
        <v>37</v>
      </c>
    </row>
    <row r="498" spans="40:50" x14ac:dyDescent="0.25">
      <c r="AN498" s="1" t="s">
        <v>666</v>
      </c>
      <c r="AO498" s="5" t="s">
        <v>842</v>
      </c>
      <c r="AP498" s="1">
        <v>1</v>
      </c>
      <c r="AQ498" s="1" t="s">
        <v>37</v>
      </c>
      <c r="AR498" s="1">
        <v>7</v>
      </c>
      <c r="AS498" s="1">
        <v>3</v>
      </c>
      <c r="AT498" s="1">
        <v>5</v>
      </c>
      <c r="AU498" s="1">
        <v>7</v>
      </c>
      <c r="AV498" s="5" t="s">
        <v>505</v>
      </c>
      <c r="AW498" s="1" t="s">
        <v>37</v>
      </c>
      <c r="AX498" s="1" t="s">
        <v>37</v>
      </c>
    </row>
    <row r="499" spans="40:50" x14ac:dyDescent="0.25">
      <c r="AN499" s="1" t="s">
        <v>666</v>
      </c>
      <c r="AO499" s="99" t="s">
        <v>879</v>
      </c>
      <c r="AP499" s="92">
        <v>16</v>
      </c>
      <c r="AQ499" s="100">
        <v>400000</v>
      </c>
      <c r="AR499" s="92">
        <v>6</v>
      </c>
      <c r="AS499" s="92">
        <v>7</v>
      </c>
      <c r="AT499" s="92">
        <v>2</v>
      </c>
      <c r="AU499" s="92">
        <v>10</v>
      </c>
      <c r="AV499" s="99" t="s">
        <v>880</v>
      </c>
      <c r="AW499" s="1" t="s">
        <v>37</v>
      </c>
      <c r="AX499" s="1" t="s">
        <v>37</v>
      </c>
    </row>
    <row r="500" spans="40:50" x14ac:dyDescent="0.25">
      <c r="AN500" s="1" t="s">
        <v>666</v>
      </c>
      <c r="AO500" s="5" t="s">
        <v>35</v>
      </c>
      <c r="AP500" s="1">
        <v>1</v>
      </c>
      <c r="AQ500" s="2">
        <v>430000</v>
      </c>
      <c r="AR500" s="1">
        <v>6</v>
      </c>
      <c r="AS500" s="1">
        <v>6</v>
      </c>
      <c r="AT500" s="1">
        <v>3</v>
      </c>
      <c r="AU500" s="1">
        <v>10</v>
      </c>
      <c r="AV500" s="5" t="s">
        <v>513</v>
      </c>
      <c r="AW500" s="1" t="s">
        <v>37</v>
      </c>
      <c r="AX500" s="1" t="s">
        <v>37</v>
      </c>
    </row>
    <row r="501" spans="40:50" x14ac:dyDescent="0.25">
      <c r="AN501" s="1" t="s">
        <v>359</v>
      </c>
      <c r="AO501" s="4"/>
      <c r="AP501" s="104"/>
      <c r="AQ501" s="104"/>
      <c r="AR501" s="104"/>
      <c r="AS501" s="104"/>
      <c r="AT501" s="104"/>
      <c r="AU501" s="104"/>
      <c r="AV501" s="104"/>
      <c r="AW501" s="104"/>
      <c r="AX501" s="104"/>
    </row>
    <row r="502" spans="40:50" x14ac:dyDescent="0.25">
      <c r="AN502" s="1" t="s">
        <v>359</v>
      </c>
      <c r="AO502" s="5" t="s">
        <v>370</v>
      </c>
      <c r="AP502" s="1">
        <v>16</v>
      </c>
      <c r="AQ502" s="2">
        <v>50000</v>
      </c>
      <c r="AR502" s="1">
        <v>6</v>
      </c>
      <c r="AS502" s="1">
        <v>3</v>
      </c>
      <c r="AT502" s="1">
        <v>3</v>
      </c>
      <c r="AU502" s="1">
        <v>7</v>
      </c>
      <c r="AV502" t="s">
        <v>480</v>
      </c>
      <c r="AW502" s="1" t="s">
        <v>22</v>
      </c>
      <c r="AX502" s="1" t="s">
        <v>636</v>
      </c>
    </row>
    <row r="503" spans="40:50" x14ac:dyDescent="0.25">
      <c r="AN503" s="1" t="s">
        <v>359</v>
      </c>
      <c r="AO503" s="5" t="s">
        <v>378</v>
      </c>
      <c r="AP503" s="1">
        <v>2</v>
      </c>
      <c r="AQ503" s="2">
        <v>70000</v>
      </c>
      <c r="AR503" s="1">
        <v>6</v>
      </c>
      <c r="AS503" s="1">
        <v>3</v>
      </c>
      <c r="AT503" s="1">
        <v>3</v>
      </c>
      <c r="AU503" s="1">
        <v>7</v>
      </c>
      <c r="AV503" t="s">
        <v>481</v>
      </c>
      <c r="AW503" s="1" t="s">
        <v>23</v>
      </c>
      <c r="AX503" s="1" t="s">
        <v>637</v>
      </c>
    </row>
    <row r="504" spans="40:50" x14ac:dyDescent="0.25">
      <c r="AN504" s="1" t="s">
        <v>359</v>
      </c>
      <c r="AO504" s="5" t="s">
        <v>379</v>
      </c>
      <c r="AP504" s="1">
        <v>2</v>
      </c>
      <c r="AQ504" s="2">
        <v>70000</v>
      </c>
      <c r="AR504" s="1">
        <v>6</v>
      </c>
      <c r="AS504" s="1">
        <v>3</v>
      </c>
      <c r="AT504" s="1">
        <v>3</v>
      </c>
      <c r="AU504" s="1">
        <v>7</v>
      </c>
      <c r="AV504" t="s">
        <v>482</v>
      </c>
      <c r="AW504" s="1" t="s">
        <v>24</v>
      </c>
      <c r="AX504" s="1" t="s">
        <v>634</v>
      </c>
    </row>
    <row r="505" spans="40:50" x14ac:dyDescent="0.25">
      <c r="AN505" s="1" t="s">
        <v>359</v>
      </c>
      <c r="AO505" s="5" t="s">
        <v>5</v>
      </c>
      <c r="AP505" s="1">
        <v>4</v>
      </c>
      <c r="AQ505" s="2">
        <v>90000</v>
      </c>
      <c r="AR505" s="1">
        <v>6</v>
      </c>
      <c r="AS505" s="1">
        <v>3</v>
      </c>
      <c r="AT505" s="1">
        <v>3</v>
      </c>
      <c r="AU505" s="1">
        <v>7</v>
      </c>
      <c r="AV505" t="s">
        <v>483</v>
      </c>
      <c r="AW505" s="1" t="s">
        <v>638</v>
      </c>
      <c r="AX505" s="1" t="s">
        <v>29</v>
      </c>
    </row>
    <row r="506" spans="40:50" x14ac:dyDescent="0.25">
      <c r="AN506" s="1" t="s">
        <v>359</v>
      </c>
      <c r="AO506" s="5" t="s">
        <v>380</v>
      </c>
      <c r="AP506" s="1">
        <v>11</v>
      </c>
      <c r="AQ506" s="2">
        <v>50000</v>
      </c>
      <c r="AR506" s="1">
        <v>6</v>
      </c>
      <c r="AS506" s="1">
        <v>3</v>
      </c>
      <c r="AT506" s="1">
        <v>3</v>
      </c>
      <c r="AU506" s="1">
        <v>7</v>
      </c>
      <c r="AV506" t="s">
        <v>484</v>
      </c>
      <c r="AW506" s="1" t="s">
        <v>22</v>
      </c>
      <c r="AX506" s="1" t="s">
        <v>636</v>
      </c>
    </row>
    <row r="507" spans="40:50" x14ac:dyDescent="0.25">
      <c r="AN507" s="1" t="s">
        <v>359</v>
      </c>
      <c r="AO507" s="5" t="s">
        <v>30</v>
      </c>
      <c r="AP507" s="1">
        <v>1</v>
      </c>
      <c r="AQ507" s="2">
        <v>110000</v>
      </c>
      <c r="AR507" s="1">
        <v>6</v>
      </c>
      <c r="AS507" s="1">
        <v>3</v>
      </c>
      <c r="AT507" s="1">
        <v>3</v>
      </c>
      <c r="AU507" s="1">
        <v>8</v>
      </c>
      <c r="AV507" s="5" t="s">
        <v>516</v>
      </c>
      <c r="AW507" s="1" t="s">
        <v>37</v>
      </c>
      <c r="AX507" s="1" t="s">
        <v>37</v>
      </c>
    </row>
    <row r="508" spans="40:50" x14ac:dyDescent="0.25">
      <c r="AN508" s="1" t="s">
        <v>359</v>
      </c>
      <c r="AO508" s="5" t="s">
        <v>382</v>
      </c>
      <c r="AP508" s="1">
        <v>1</v>
      </c>
      <c r="AQ508" s="2">
        <v>150000</v>
      </c>
      <c r="AR508" s="1">
        <v>5</v>
      </c>
      <c r="AS508" s="1">
        <v>4</v>
      </c>
      <c r="AT508" s="1">
        <v>3</v>
      </c>
      <c r="AU508" s="1">
        <v>8</v>
      </c>
      <c r="AV508" s="5" t="s">
        <v>506</v>
      </c>
      <c r="AW508" s="1" t="s">
        <v>37</v>
      </c>
      <c r="AX508" s="1" t="s">
        <v>37</v>
      </c>
    </row>
    <row r="509" spans="40:50" x14ac:dyDescent="0.25">
      <c r="AN509" s="1" t="s">
        <v>359</v>
      </c>
      <c r="AO509" s="5" t="s">
        <v>125</v>
      </c>
      <c r="AP509" s="1">
        <v>1</v>
      </c>
      <c r="AQ509" s="2">
        <v>220000</v>
      </c>
      <c r="AR509" s="1">
        <v>6</v>
      </c>
      <c r="AS509" s="1">
        <v>4</v>
      </c>
      <c r="AT509" s="1">
        <v>3</v>
      </c>
      <c r="AU509" s="1">
        <v>8</v>
      </c>
      <c r="AV509" s="5" t="s">
        <v>501</v>
      </c>
      <c r="AW509" s="1" t="s">
        <v>37</v>
      </c>
      <c r="AX509" s="1" t="s">
        <v>37</v>
      </c>
    </row>
    <row r="510" spans="40:50" x14ac:dyDescent="0.25">
      <c r="AN510" s="1" t="s">
        <v>359</v>
      </c>
      <c r="AO510" s="5" t="s">
        <v>383</v>
      </c>
      <c r="AP510" s="1">
        <v>1</v>
      </c>
      <c r="AQ510" s="2">
        <v>250000</v>
      </c>
      <c r="AR510" s="1">
        <v>8</v>
      </c>
      <c r="AS510" s="1">
        <v>3</v>
      </c>
      <c r="AT510" s="1">
        <v>5</v>
      </c>
      <c r="AU510" s="1">
        <v>7</v>
      </c>
      <c r="AV510" s="5" t="s">
        <v>522</v>
      </c>
      <c r="AW510" s="1" t="s">
        <v>37</v>
      </c>
      <c r="AX510" s="1" t="s">
        <v>37</v>
      </c>
    </row>
    <row r="511" spans="40:50" x14ac:dyDescent="0.25">
      <c r="AN511" s="1" t="s">
        <v>359</v>
      </c>
      <c r="AO511" s="5" t="s">
        <v>376</v>
      </c>
      <c r="AP511" s="1">
        <v>1</v>
      </c>
      <c r="AQ511" s="2">
        <v>270000</v>
      </c>
      <c r="AR511" s="1">
        <v>6</v>
      </c>
      <c r="AS511" s="1">
        <v>4</v>
      </c>
      <c r="AT511" s="1">
        <v>3</v>
      </c>
      <c r="AU511" s="1">
        <v>8</v>
      </c>
      <c r="AV511" s="5" t="s">
        <v>502</v>
      </c>
      <c r="AW511" s="1" t="s">
        <v>37</v>
      </c>
      <c r="AX511" s="1" t="s">
        <v>37</v>
      </c>
    </row>
    <row r="512" spans="40:50" x14ac:dyDescent="0.25">
      <c r="AN512" s="1" t="s">
        <v>359</v>
      </c>
      <c r="AO512" s="99" t="s">
        <v>836</v>
      </c>
      <c r="AP512" s="92">
        <v>1</v>
      </c>
      <c r="AQ512" s="100">
        <v>280000</v>
      </c>
      <c r="AR512" s="92">
        <v>5</v>
      </c>
      <c r="AS512" s="92">
        <v>5</v>
      </c>
      <c r="AT512" s="92">
        <v>2</v>
      </c>
      <c r="AU512" s="92">
        <v>9</v>
      </c>
      <c r="AV512" s="99" t="s">
        <v>837</v>
      </c>
      <c r="AW512" s="1" t="s">
        <v>37</v>
      </c>
      <c r="AX512" s="1" t="s">
        <v>37</v>
      </c>
    </row>
    <row r="513" spans="40:50" x14ac:dyDescent="0.25">
      <c r="AN513" s="1" t="s">
        <v>359</v>
      </c>
      <c r="AO513" s="5" t="s">
        <v>384</v>
      </c>
      <c r="AP513" s="1">
        <v>1</v>
      </c>
      <c r="AQ513" s="2">
        <v>290000</v>
      </c>
      <c r="AR513" s="1">
        <v>6</v>
      </c>
      <c r="AS513" s="1">
        <v>5</v>
      </c>
      <c r="AT513" s="1">
        <v>2</v>
      </c>
      <c r="AU513" s="1">
        <v>9</v>
      </c>
      <c r="AV513" s="5" t="s">
        <v>528</v>
      </c>
      <c r="AW513" s="1" t="s">
        <v>37</v>
      </c>
      <c r="AX513" s="1" t="s">
        <v>37</v>
      </c>
    </row>
    <row r="514" spans="40:50" x14ac:dyDescent="0.25">
      <c r="AN514" s="1" t="s">
        <v>359</v>
      </c>
      <c r="AO514" s="99" t="s">
        <v>850</v>
      </c>
      <c r="AP514" s="92">
        <v>1</v>
      </c>
      <c r="AQ514" s="100">
        <v>360000</v>
      </c>
      <c r="AR514" s="92">
        <v>6</v>
      </c>
      <c r="AS514" s="92">
        <v>6</v>
      </c>
      <c r="AT514" s="92">
        <v>1</v>
      </c>
      <c r="AU514" s="92">
        <v>9</v>
      </c>
      <c r="AV514" s="99" t="s">
        <v>854</v>
      </c>
      <c r="AW514" s="1" t="s">
        <v>37</v>
      </c>
      <c r="AX514" s="1" t="s">
        <v>37</v>
      </c>
    </row>
    <row r="515" spans="40:50" x14ac:dyDescent="0.25">
      <c r="AN515" s="1" t="s">
        <v>359</v>
      </c>
      <c r="AO515" s="99" t="s">
        <v>867</v>
      </c>
      <c r="AP515" s="92">
        <v>1</v>
      </c>
      <c r="AQ515" s="100">
        <v>380000</v>
      </c>
      <c r="AR515" s="92">
        <v>5</v>
      </c>
      <c r="AS515" s="92">
        <v>6</v>
      </c>
      <c r="AT515" s="92">
        <v>2</v>
      </c>
      <c r="AU515" s="92">
        <v>10</v>
      </c>
      <c r="AV515" s="99" t="s">
        <v>865</v>
      </c>
      <c r="AW515" s="1" t="s">
        <v>37</v>
      </c>
      <c r="AX515" s="1" t="s">
        <v>37</v>
      </c>
    </row>
    <row r="516" spans="40:50" x14ac:dyDescent="0.25">
      <c r="AN516" s="1" t="s">
        <v>359</v>
      </c>
      <c r="AO516" s="99" t="s">
        <v>879</v>
      </c>
      <c r="AP516" s="92">
        <v>16</v>
      </c>
      <c r="AQ516" s="100">
        <v>400000</v>
      </c>
      <c r="AR516" s="92">
        <v>6</v>
      </c>
      <c r="AS516" s="92">
        <v>7</v>
      </c>
      <c r="AT516" s="92">
        <v>2</v>
      </c>
      <c r="AU516" s="92">
        <v>10</v>
      </c>
      <c r="AV516" s="99" t="s">
        <v>880</v>
      </c>
      <c r="AW516" s="1" t="s">
        <v>37</v>
      </c>
      <c r="AX516" s="1" t="s">
        <v>37</v>
      </c>
    </row>
    <row r="517" spans="40:50" x14ac:dyDescent="0.25">
      <c r="AN517" s="1" t="s">
        <v>359</v>
      </c>
      <c r="AO517" s="5" t="s">
        <v>35</v>
      </c>
      <c r="AP517" s="1">
        <v>1</v>
      </c>
      <c r="AQ517" s="2">
        <v>430000</v>
      </c>
      <c r="AR517" s="1">
        <v>6</v>
      </c>
      <c r="AS517" s="1">
        <v>6</v>
      </c>
      <c r="AT517" s="1">
        <v>3</v>
      </c>
      <c r="AU517" s="1">
        <v>10</v>
      </c>
      <c r="AV517" s="5" t="s">
        <v>513</v>
      </c>
      <c r="AW517" s="1" t="s">
        <v>37</v>
      </c>
      <c r="AX517" s="1" t="s">
        <v>37</v>
      </c>
    </row>
    <row r="518" spans="40:50" x14ac:dyDescent="0.25">
      <c r="AN518" s="1" t="s">
        <v>360</v>
      </c>
      <c r="AO518" s="5"/>
      <c r="AP518" s="1"/>
      <c r="AQ518" s="2"/>
      <c r="AR518" s="1"/>
      <c r="AS518" s="1"/>
      <c r="AT518" s="1"/>
      <c r="AU518" s="1"/>
      <c r="AV518" s="5"/>
      <c r="AW518" s="1"/>
      <c r="AX518" s="1"/>
    </row>
    <row r="519" spans="40:50" x14ac:dyDescent="0.25">
      <c r="AN519" s="1" t="s">
        <v>360</v>
      </c>
      <c r="AO519" s="5" t="s">
        <v>370</v>
      </c>
      <c r="AP519" s="1">
        <v>16</v>
      </c>
      <c r="AQ519" s="2">
        <v>40000</v>
      </c>
      <c r="AR519" s="1">
        <v>6</v>
      </c>
      <c r="AS519" s="1">
        <v>3</v>
      </c>
      <c r="AT519" s="1">
        <v>2</v>
      </c>
      <c r="AU519" s="1">
        <v>7</v>
      </c>
      <c r="AV519" s="5" t="s">
        <v>490</v>
      </c>
      <c r="AW519" s="1" t="s">
        <v>22</v>
      </c>
      <c r="AX519" s="1" t="s">
        <v>636</v>
      </c>
    </row>
    <row r="520" spans="40:50" x14ac:dyDescent="0.25">
      <c r="AN520" s="1" t="s">
        <v>360</v>
      </c>
      <c r="AO520" s="5" t="s">
        <v>385</v>
      </c>
      <c r="AP520" s="1">
        <v>4</v>
      </c>
      <c r="AQ520" s="2">
        <v>70000</v>
      </c>
      <c r="AR520" s="1">
        <v>6</v>
      </c>
      <c r="AS520" s="1">
        <v>3</v>
      </c>
      <c r="AT520" s="1">
        <v>3</v>
      </c>
      <c r="AU520" s="1">
        <v>8</v>
      </c>
      <c r="AV520" s="5" t="s">
        <v>500</v>
      </c>
      <c r="AW520" s="1" t="s">
        <v>638</v>
      </c>
      <c r="AX520" s="1" t="s">
        <v>29</v>
      </c>
    </row>
    <row r="521" spans="40:50" x14ac:dyDescent="0.25">
      <c r="AN521" s="1" t="s">
        <v>360</v>
      </c>
      <c r="AO521" s="5" t="s">
        <v>5</v>
      </c>
      <c r="AP521" s="1">
        <v>4</v>
      </c>
      <c r="AQ521" s="2">
        <v>110000</v>
      </c>
      <c r="AR521" s="1">
        <v>7</v>
      </c>
      <c r="AS521" s="1">
        <v>3</v>
      </c>
      <c r="AT521" s="1">
        <v>3</v>
      </c>
      <c r="AU521" s="1">
        <v>8</v>
      </c>
      <c r="AV521" s="5" t="s">
        <v>497</v>
      </c>
      <c r="AW521" s="1" t="s">
        <v>45</v>
      </c>
      <c r="AX521" s="1" t="s">
        <v>635</v>
      </c>
    </row>
    <row r="522" spans="40:50" x14ac:dyDescent="0.25">
      <c r="AN522" s="1" t="s">
        <v>360</v>
      </c>
      <c r="AO522" s="5" t="s">
        <v>380</v>
      </c>
      <c r="AP522" s="1">
        <v>11</v>
      </c>
      <c r="AQ522" s="2">
        <v>40000</v>
      </c>
      <c r="AR522" s="1">
        <v>6</v>
      </c>
      <c r="AS522" s="1">
        <v>3</v>
      </c>
      <c r="AT522" s="1">
        <v>2</v>
      </c>
      <c r="AU522" s="1">
        <v>7</v>
      </c>
      <c r="AV522" s="5" t="s">
        <v>491</v>
      </c>
      <c r="AW522" s="1" t="s">
        <v>22</v>
      </c>
      <c r="AX522" s="1" t="s">
        <v>636</v>
      </c>
    </row>
    <row r="523" spans="40:50" x14ac:dyDescent="0.25">
      <c r="AN523" s="1" t="s">
        <v>360</v>
      </c>
      <c r="AO523" s="5" t="s">
        <v>377</v>
      </c>
      <c r="AP523" s="1">
        <v>1</v>
      </c>
      <c r="AQ523" s="2">
        <v>150000</v>
      </c>
      <c r="AR523" s="1">
        <v>7</v>
      </c>
      <c r="AS523" s="1">
        <v>3</v>
      </c>
      <c r="AT523" s="1">
        <v>4</v>
      </c>
      <c r="AU523" s="1">
        <v>7</v>
      </c>
      <c r="AV523" s="5" t="s">
        <v>573</v>
      </c>
      <c r="AW523" s="1" t="s">
        <v>37</v>
      </c>
      <c r="AX523" s="1" t="s">
        <v>37</v>
      </c>
    </row>
    <row r="524" spans="40:50" x14ac:dyDescent="0.25">
      <c r="AN524" s="1" t="s">
        <v>360</v>
      </c>
      <c r="AO524" s="5" t="s">
        <v>382</v>
      </c>
      <c r="AP524" s="1">
        <v>1</v>
      </c>
      <c r="AQ524" s="2">
        <v>150000</v>
      </c>
      <c r="AR524" s="1">
        <v>5</v>
      </c>
      <c r="AS524" s="1">
        <v>4</v>
      </c>
      <c r="AT524" s="1">
        <v>3</v>
      </c>
      <c r="AU524" s="1">
        <v>8</v>
      </c>
      <c r="AV524" s="5" t="s">
        <v>506</v>
      </c>
      <c r="AW524" s="1" t="s">
        <v>37</v>
      </c>
      <c r="AX524" s="1" t="s">
        <v>37</v>
      </c>
    </row>
    <row r="525" spans="40:50" x14ac:dyDescent="0.25">
      <c r="AN525" s="1" t="s">
        <v>360</v>
      </c>
      <c r="AO525" s="5" t="s">
        <v>355</v>
      </c>
      <c r="AP525" s="1">
        <v>1</v>
      </c>
      <c r="AQ525" s="2">
        <v>160000</v>
      </c>
      <c r="AR525" s="1">
        <v>8</v>
      </c>
      <c r="AS525" s="1">
        <v>3</v>
      </c>
      <c r="AT525" s="1">
        <v>4</v>
      </c>
      <c r="AU525" s="1">
        <v>7</v>
      </c>
      <c r="AV525" s="5" t="s">
        <v>489</v>
      </c>
      <c r="AW525" s="1" t="s">
        <v>37</v>
      </c>
      <c r="AX525" s="1" t="s">
        <v>37</v>
      </c>
    </row>
    <row r="526" spans="40:50" x14ac:dyDescent="0.25">
      <c r="AN526" s="1" t="s">
        <v>360</v>
      </c>
      <c r="AO526" s="5" t="s">
        <v>125</v>
      </c>
      <c r="AP526" s="1">
        <v>1</v>
      </c>
      <c r="AQ526" s="2">
        <v>220000</v>
      </c>
      <c r="AR526" s="1">
        <v>6</v>
      </c>
      <c r="AS526" s="1">
        <v>4</v>
      </c>
      <c r="AT526" s="1">
        <v>3</v>
      </c>
      <c r="AU526" s="1">
        <v>8</v>
      </c>
      <c r="AV526" s="5" t="s">
        <v>501</v>
      </c>
      <c r="AW526" s="1" t="s">
        <v>37</v>
      </c>
      <c r="AX526" s="1" t="s">
        <v>37</v>
      </c>
    </row>
    <row r="527" spans="40:50" x14ac:dyDescent="0.25">
      <c r="AN527" s="1" t="s">
        <v>360</v>
      </c>
      <c r="AO527" s="5" t="s">
        <v>386</v>
      </c>
      <c r="AP527" s="1">
        <v>1</v>
      </c>
      <c r="AQ527" s="2">
        <v>260000</v>
      </c>
      <c r="AR527" s="1">
        <v>4</v>
      </c>
      <c r="AS527" s="1">
        <v>5</v>
      </c>
      <c r="AT527" s="1">
        <v>2</v>
      </c>
      <c r="AU527" s="1">
        <v>9</v>
      </c>
      <c r="AV527" s="5" t="s">
        <v>504</v>
      </c>
      <c r="AW527" s="1" t="s">
        <v>37</v>
      </c>
      <c r="AX527" s="1" t="s">
        <v>37</v>
      </c>
    </row>
    <row r="528" spans="40:50" x14ac:dyDescent="0.25">
      <c r="AN528" s="1" t="s">
        <v>360</v>
      </c>
      <c r="AO528" s="5" t="s">
        <v>376</v>
      </c>
      <c r="AP528" s="1">
        <v>1</v>
      </c>
      <c r="AQ528" s="2">
        <v>270000</v>
      </c>
      <c r="AR528" s="1">
        <v>6</v>
      </c>
      <c r="AS528" s="1">
        <v>4</v>
      </c>
      <c r="AT528" s="1">
        <v>3</v>
      </c>
      <c r="AU528" s="1">
        <v>8</v>
      </c>
      <c r="AV528" s="5" t="s">
        <v>502</v>
      </c>
      <c r="AW528" s="1" t="s">
        <v>37</v>
      </c>
      <c r="AX528" s="1" t="s">
        <v>37</v>
      </c>
    </row>
    <row r="529" spans="40:50" x14ac:dyDescent="0.25">
      <c r="AN529" s="1" t="s">
        <v>360</v>
      </c>
      <c r="AO529" s="5" t="s">
        <v>107</v>
      </c>
      <c r="AP529" s="1">
        <v>1</v>
      </c>
      <c r="AQ529" s="2">
        <v>320000</v>
      </c>
      <c r="AR529" s="1">
        <v>7</v>
      </c>
      <c r="AS529" s="1">
        <v>4</v>
      </c>
      <c r="AT529" s="1">
        <v>4</v>
      </c>
      <c r="AU529" s="1">
        <v>8</v>
      </c>
      <c r="AV529" s="5" t="s">
        <v>530</v>
      </c>
      <c r="AW529" s="1" t="s">
        <v>37</v>
      </c>
      <c r="AX529" s="1" t="s">
        <v>37</v>
      </c>
    </row>
    <row r="530" spans="40:50" x14ac:dyDescent="0.25">
      <c r="AN530" s="1" t="s">
        <v>360</v>
      </c>
      <c r="AO530" s="99" t="s">
        <v>867</v>
      </c>
      <c r="AP530" s="92">
        <v>1</v>
      </c>
      <c r="AQ530" s="100">
        <v>380000</v>
      </c>
      <c r="AR530" s="92">
        <v>5</v>
      </c>
      <c r="AS530" s="92">
        <v>6</v>
      </c>
      <c r="AT530" s="92">
        <v>2</v>
      </c>
      <c r="AU530" s="92">
        <v>10</v>
      </c>
      <c r="AV530" s="99" t="s">
        <v>865</v>
      </c>
      <c r="AW530" s="1" t="s">
        <v>37</v>
      </c>
      <c r="AX530" s="1" t="s">
        <v>37</v>
      </c>
    </row>
    <row r="531" spans="40:50" x14ac:dyDescent="0.25">
      <c r="AN531" s="1" t="s">
        <v>360</v>
      </c>
      <c r="AO531" s="99" t="s">
        <v>879</v>
      </c>
      <c r="AP531" s="92">
        <v>16</v>
      </c>
      <c r="AQ531" s="100">
        <v>400000</v>
      </c>
      <c r="AR531" s="92">
        <v>6</v>
      </c>
      <c r="AS531" s="92">
        <v>7</v>
      </c>
      <c r="AT531" s="92">
        <v>2</v>
      </c>
      <c r="AU531" s="92">
        <v>10</v>
      </c>
      <c r="AV531" s="99" t="s">
        <v>880</v>
      </c>
      <c r="AW531" s="1" t="s">
        <v>37</v>
      </c>
      <c r="AX531" s="1" t="s">
        <v>37</v>
      </c>
    </row>
    <row r="532" spans="40:50" x14ac:dyDescent="0.25">
      <c r="AN532" s="1" t="s">
        <v>360</v>
      </c>
      <c r="AO532" s="5" t="s">
        <v>35</v>
      </c>
      <c r="AP532" s="1">
        <v>1</v>
      </c>
      <c r="AQ532" s="2">
        <v>430000</v>
      </c>
      <c r="AR532" s="1">
        <v>6</v>
      </c>
      <c r="AS532" s="1">
        <v>6</v>
      </c>
      <c r="AT532" s="1">
        <v>3</v>
      </c>
      <c r="AU532" s="1">
        <v>10</v>
      </c>
      <c r="AV532" s="5" t="s">
        <v>513</v>
      </c>
      <c r="AW532" s="1" t="s">
        <v>37</v>
      </c>
      <c r="AX532" s="1" t="s">
        <v>37</v>
      </c>
    </row>
    <row r="533" spans="40:50" x14ac:dyDescent="0.25">
      <c r="AN533" s="1" t="s">
        <v>361</v>
      </c>
      <c r="AO533" s="5"/>
      <c r="AP533" s="1"/>
      <c r="AQ533"/>
      <c r="AR533" s="1"/>
      <c r="AS533" s="1"/>
      <c r="AT533" s="1"/>
      <c r="AU533" s="1"/>
      <c r="AV533"/>
      <c r="AW533" s="1"/>
      <c r="AX533" s="1"/>
    </row>
    <row r="534" spans="40:50" x14ac:dyDescent="0.25">
      <c r="AN534" s="1" t="s">
        <v>361</v>
      </c>
      <c r="AO534" s="5" t="s">
        <v>388</v>
      </c>
      <c r="AP534" s="1">
        <v>16</v>
      </c>
      <c r="AQ534" s="2">
        <v>60000</v>
      </c>
      <c r="AR534" s="1">
        <v>6</v>
      </c>
      <c r="AS534" s="1">
        <v>3</v>
      </c>
      <c r="AT534" s="1">
        <v>3</v>
      </c>
      <c r="AU534" s="1">
        <v>8</v>
      </c>
      <c r="AV534" t="s">
        <v>532</v>
      </c>
      <c r="AW534" s="1" t="s">
        <v>639</v>
      </c>
      <c r="AX534" s="1" t="s">
        <v>29</v>
      </c>
    </row>
    <row r="535" spans="40:50" x14ac:dyDescent="0.25">
      <c r="AN535" s="1" t="s">
        <v>361</v>
      </c>
      <c r="AO535" s="5" t="s">
        <v>387</v>
      </c>
      <c r="AP535" s="1">
        <v>4</v>
      </c>
      <c r="AQ535" s="2">
        <v>100000</v>
      </c>
      <c r="AR535" s="1">
        <v>5</v>
      </c>
      <c r="AS535" s="1">
        <v>4</v>
      </c>
      <c r="AT535" s="1">
        <v>3</v>
      </c>
      <c r="AU535" s="1">
        <v>9</v>
      </c>
      <c r="AV535" t="s">
        <v>647</v>
      </c>
      <c r="AW535" s="1" t="s">
        <v>639</v>
      </c>
      <c r="AX535" s="1" t="s">
        <v>29</v>
      </c>
    </row>
    <row r="536" spans="40:50" x14ac:dyDescent="0.25">
      <c r="AN536" s="1" t="s">
        <v>361</v>
      </c>
      <c r="AO536" s="5" t="s">
        <v>389</v>
      </c>
      <c r="AP536" s="1">
        <v>1</v>
      </c>
      <c r="AQ536" s="2">
        <v>150000</v>
      </c>
      <c r="AR536" s="1">
        <v>5</v>
      </c>
      <c r="AS536" s="1">
        <v>5</v>
      </c>
      <c r="AT536" s="1">
        <v>2</v>
      </c>
      <c r="AU536" s="1">
        <v>8</v>
      </c>
      <c r="AV536" t="s">
        <v>536</v>
      </c>
      <c r="AW536" s="1" t="s">
        <v>640</v>
      </c>
      <c r="AX536" s="1" t="s">
        <v>45</v>
      </c>
    </row>
    <row r="537" spans="40:50" x14ac:dyDescent="0.25">
      <c r="AN537" s="1" t="s">
        <v>361</v>
      </c>
      <c r="AO537" s="5" t="s">
        <v>380</v>
      </c>
      <c r="AP537" s="1">
        <v>11</v>
      </c>
      <c r="AQ537" s="2">
        <v>60000</v>
      </c>
      <c r="AR537" s="1">
        <v>6</v>
      </c>
      <c r="AS537" s="1">
        <v>3</v>
      </c>
      <c r="AT537" s="1">
        <v>3</v>
      </c>
      <c r="AU537" s="1">
        <v>8</v>
      </c>
      <c r="AV537" t="s">
        <v>533</v>
      </c>
      <c r="AW537" s="1" t="s">
        <v>639</v>
      </c>
      <c r="AX537" s="1" t="s">
        <v>29</v>
      </c>
    </row>
    <row r="538" spans="40:50" x14ac:dyDescent="0.25">
      <c r="AN538" s="1" t="s">
        <v>361</v>
      </c>
      <c r="AO538" s="5" t="s">
        <v>390</v>
      </c>
      <c r="AP538" s="1">
        <v>1</v>
      </c>
      <c r="AQ538" s="2">
        <v>130000</v>
      </c>
      <c r="AR538" s="1">
        <v>5</v>
      </c>
      <c r="AS538" s="1">
        <v>4</v>
      </c>
      <c r="AT538" s="1">
        <v>3</v>
      </c>
      <c r="AU538" s="1">
        <v>8</v>
      </c>
      <c r="AV538" s="5" t="s">
        <v>514</v>
      </c>
      <c r="AW538" s="1" t="s">
        <v>37</v>
      </c>
      <c r="AX538" s="1" t="s">
        <v>37</v>
      </c>
    </row>
    <row r="539" spans="40:50" x14ac:dyDescent="0.25">
      <c r="AN539" s="1" t="s">
        <v>361</v>
      </c>
      <c r="AO539" s="5" t="s">
        <v>391</v>
      </c>
      <c r="AP539" s="1">
        <v>1</v>
      </c>
      <c r="AQ539" s="2">
        <v>160000</v>
      </c>
      <c r="AR539" s="1">
        <v>6</v>
      </c>
      <c r="AS539" s="1">
        <v>3</v>
      </c>
      <c r="AT539" s="1">
        <v>3</v>
      </c>
      <c r="AU539" s="1">
        <v>9</v>
      </c>
      <c r="AV539" s="5" t="s">
        <v>709</v>
      </c>
      <c r="AW539" s="1" t="s">
        <v>37</v>
      </c>
      <c r="AX539" s="1" t="s">
        <v>37</v>
      </c>
    </row>
    <row r="540" spans="40:50" x14ac:dyDescent="0.25">
      <c r="AN540" s="1" t="s">
        <v>361</v>
      </c>
      <c r="AO540" s="99" t="s">
        <v>710</v>
      </c>
      <c r="AP540" s="1">
        <v>1</v>
      </c>
      <c r="AQ540" s="100">
        <v>170000</v>
      </c>
      <c r="AR540" s="1">
        <v>6</v>
      </c>
      <c r="AS540" s="1">
        <v>3</v>
      </c>
      <c r="AT540" s="1">
        <v>3</v>
      </c>
      <c r="AU540" s="1">
        <v>8</v>
      </c>
      <c r="AV540" s="99" t="s">
        <v>711</v>
      </c>
      <c r="AW540" s="1" t="s">
        <v>37</v>
      </c>
      <c r="AX540" s="1" t="s">
        <v>37</v>
      </c>
    </row>
    <row r="541" spans="40:50" x14ac:dyDescent="0.25">
      <c r="AN541" s="92" t="s">
        <v>361</v>
      </c>
      <c r="AO541" s="99" t="s">
        <v>699</v>
      </c>
      <c r="AP541" s="92">
        <v>1</v>
      </c>
      <c r="AQ541" s="100">
        <v>180000</v>
      </c>
      <c r="AR541" s="92">
        <v>4</v>
      </c>
      <c r="AS541" s="92">
        <v>5</v>
      </c>
      <c r="AT541" s="92">
        <v>2</v>
      </c>
      <c r="AU541" s="92">
        <v>9</v>
      </c>
      <c r="AV541" s="99" t="s">
        <v>712</v>
      </c>
      <c r="AW541" s="1" t="s">
        <v>37</v>
      </c>
      <c r="AX541" s="1" t="s">
        <v>37</v>
      </c>
    </row>
    <row r="542" spans="40:50" x14ac:dyDescent="0.25">
      <c r="AN542" s="1" t="s">
        <v>361</v>
      </c>
      <c r="AO542" s="5" t="s">
        <v>454</v>
      </c>
      <c r="AP542" s="1">
        <v>1</v>
      </c>
      <c r="AQ542" s="2">
        <v>210000</v>
      </c>
      <c r="AR542" s="1">
        <v>5</v>
      </c>
      <c r="AS542" s="1">
        <v>3</v>
      </c>
      <c r="AT542" s="1">
        <v>4</v>
      </c>
      <c r="AU542" s="1">
        <v>9</v>
      </c>
      <c r="AV542" s="5" t="s">
        <v>619</v>
      </c>
      <c r="AW542" s="1" t="s">
        <v>37</v>
      </c>
      <c r="AX542" s="1" t="s">
        <v>37</v>
      </c>
    </row>
    <row r="543" spans="40:50" x14ac:dyDescent="0.25">
      <c r="AN543" s="1" t="s">
        <v>361</v>
      </c>
      <c r="AO543" s="5" t="s">
        <v>707</v>
      </c>
      <c r="AP543" s="1">
        <v>1</v>
      </c>
      <c r="AQ543" s="100">
        <v>230000</v>
      </c>
      <c r="AR543" s="1">
        <v>5</v>
      </c>
      <c r="AS543" s="1">
        <v>4</v>
      </c>
      <c r="AT543" s="1">
        <v>2</v>
      </c>
      <c r="AU543" s="1">
        <v>9</v>
      </c>
      <c r="AV543" s="99" t="s">
        <v>713</v>
      </c>
      <c r="AW543" s="1" t="s">
        <v>37</v>
      </c>
      <c r="AX543" s="1" t="s">
        <v>37</v>
      </c>
    </row>
    <row r="544" spans="40:50" x14ac:dyDescent="0.25">
      <c r="AN544" s="1" t="s">
        <v>361</v>
      </c>
      <c r="AO544" s="99" t="s">
        <v>705</v>
      </c>
      <c r="AP544" s="1">
        <v>1</v>
      </c>
      <c r="AQ544" s="100">
        <v>250000</v>
      </c>
      <c r="AR544" s="1">
        <v>5</v>
      </c>
      <c r="AS544" s="1">
        <v>5</v>
      </c>
      <c r="AT544" s="1">
        <v>1</v>
      </c>
      <c r="AU544" s="1">
        <v>9</v>
      </c>
      <c r="AV544" s="99" t="s">
        <v>714</v>
      </c>
      <c r="AW544" s="1" t="s">
        <v>37</v>
      </c>
      <c r="AX544" s="1" t="s">
        <v>37</v>
      </c>
    </row>
    <row r="545" spans="40:50" x14ac:dyDescent="0.25">
      <c r="AN545" s="1" t="s">
        <v>361</v>
      </c>
      <c r="AO545" s="5" t="s">
        <v>49</v>
      </c>
      <c r="AP545" s="1">
        <v>1</v>
      </c>
      <c r="AQ545" s="2">
        <v>290000</v>
      </c>
      <c r="AR545" s="1">
        <v>5</v>
      </c>
      <c r="AS545" s="1">
        <v>5</v>
      </c>
      <c r="AT545" s="1">
        <v>2</v>
      </c>
      <c r="AU545" s="1">
        <v>9</v>
      </c>
      <c r="AV545" s="5" t="s">
        <v>525</v>
      </c>
      <c r="AW545" s="1" t="s">
        <v>37</v>
      </c>
      <c r="AX545" s="1" t="s">
        <v>37</v>
      </c>
    </row>
    <row r="546" spans="40:50" x14ac:dyDescent="0.25">
      <c r="AN546" s="1" t="s">
        <v>361</v>
      </c>
      <c r="AO546" s="5" t="s">
        <v>50</v>
      </c>
      <c r="AP546" s="1">
        <v>1</v>
      </c>
      <c r="AQ546" s="1" t="s">
        <v>37</v>
      </c>
      <c r="AR546" s="1">
        <v>6</v>
      </c>
      <c r="AS546" s="1">
        <v>2</v>
      </c>
      <c r="AT546" s="1">
        <v>4</v>
      </c>
      <c r="AU546" s="1">
        <v>7</v>
      </c>
      <c r="AV546" s="5" t="s">
        <v>537</v>
      </c>
      <c r="AW546" s="1" t="s">
        <v>37</v>
      </c>
      <c r="AX546" s="1" t="s">
        <v>37</v>
      </c>
    </row>
    <row r="547" spans="40:50" x14ac:dyDescent="0.25">
      <c r="AN547" s="1" t="s">
        <v>361</v>
      </c>
      <c r="AO547" s="5" t="s">
        <v>392</v>
      </c>
      <c r="AP547" s="1">
        <v>1</v>
      </c>
      <c r="AQ547" s="2">
        <v>300000</v>
      </c>
      <c r="AR547" s="1">
        <v>5</v>
      </c>
      <c r="AS547" s="1">
        <v>5</v>
      </c>
      <c r="AT547" s="1">
        <v>3</v>
      </c>
      <c r="AU547" s="1">
        <v>9</v>
      </c>
      <c r="AV547" s="5" t="s">
        <v>545</v>
      </c>
      <c r="AW547" s="1" t="s">
        <v>37</v>
      </c>
      <c r="AX547" s="1" t="s">
        <v>37</v>
      </c>
    </row>
    <row r="548" spans="40:50" x14ac:dyDescent="0.25">
      <c r="AN548" s="1" t="s">
        <v>361</v>
      </c>
      <c r="AO548" s="5" t="s">
        <v>393</v>
      </c>
      <c r="AP548" s="1">
        <v>1</v>
      </c>
      <c r="AQ548" s="2">
        <v>310000</v>
      </c>
      <c r="AR548" s="1">
        <v>6</v>
      </c>
      <c r="AS548" s="1">
        <v>6</v>
      </c>
      <c r="AT548" s="1">
        <v>2</v>
      </c>
      <c r="AU548" s="1">
        <v>8</v>
      </c>
      <c r="AV548" s="5" t="s">
        <v>534</v>
      </c>
      <c r="AW548" s="1" t="s">
        <v>37</v>
      </c>
      <c r="AX548" s="1" t="s">
        <v>37</v>
      </c>
    </row>
    <row r="549" spans="40:50" x14ac:dyDescent="0.25">
      <c r="AN549" s="1" t="s">
        <v>361</v>
      </c>
      <c r="AO549" s="99" t="s">
        <v>867</v>
      </c>
      <c r="AP549" s="92">
        <v>1</v>
      </c>
      <c r="AQ549" s="100">
        <v>380000</v>
      </c>
      <c r="AR549" s="92">
        <v>5</v>
      </c>
      <c r="AS549" s="92">
        <v>6</v>
      </c>
      <c r="AT549" s="92">
        <v>2</v>
      </c>
      <c r="AU549" s="92">
        <v>10</v>
      </c>
      <c r="AV549" s="99" t="s">
        <v>865</v>
      </c>
      <c r="AW549" s="1" t="s">
        <v>37</v>
      </c>
      <c r="AX549" s="1" t="s">
        <v>37</v>
      </c>
    </row>
    <row r="550" spans="40:50" x14ac:dyDescent="0.25">
      <c r="AN550" s="1" t="s">
        <v>361</v>
      </c>
      <c r="AO550" s="99" t="s">
        <v>879</v>
      </c>
      <c r="AP550" s="92">
        <v>16</v>
      </c>
      <c r="AQ550" s="100">
        <v>400000</v>
      </c>
      <c r="AR550" s="92">
        <v>6</v>
      </c>
      <c r="AS550" s="92">
        <v>7</v>
      </c>
      <c r="AT550" s="92">
        <v>2</v>
      </c>
      <c r="AU550" s="92">
        <v>10</v>
      </c>
      <c r="AV550" s="99" t="s">
        <v>880</v>
      </c>
      <c r="AW550" s="1" t="s">
        <v>37</v>
      </c>
      <c r="AX550" s="1" t="s">
        <v>37</v>
      </c>
    </row>
    <row r="551" spans="40:50" x14ac:dyDescent="0.25">
      <c r="AN551" s="1" t="s">
        <v>361</v>
      </c>
      <c r="AO551" s="5" t="s">
        <v>35</v>
      </c>
      <c r="AP551" s="1">
        <v>1</v>
      </c>
      <c r="AQ551" s="2">
        <v>430000</v>
      </c>
      <c r="AR551" s="1">
        <v>6</v>
      </c>
      <c r="AS551" s="1">
        <v>6</v>
      </c>
      <c r="AT551" s="1">
        <v>3</v>
      </c>
      <c r="AU551" s="1">
        <v>10</v>
      </c>
      <c r="AV551" s="5" t="s">
        <v>513</v>
      </c>
      <c r="AW551" s="1" t="s">
        <v>37</v>
      </c>
      <c r="AX551" s="1" t="s">
        <v>37</v>
      </c>
    </row>
    <row r="552" spans="40:50" x14ac:dyDescent="0.25">
      <c r="AN552" s="1" t="s">
        <v>667</v>
      </c>
      <c r="AO552" s="5"/>
      <c r="AP552" s="1"/>
      <c r="AQ552" s="2"/>
      <c r="AR552" s="1"/>
      <c r="AS552" s="1"/>
      <c r="AT552" s="1"/>
      <c r="AU552" s="1"/>
      <c r="AV552"/>
      <c r="AW552" s="1"/>
      <c r="AX552" s="1"/>
    </row>
    <row r="553" spans="40:50" x14ac:dyDescent="0.25">
      <c r="AN553" s="1" t="s">
        <v>667</v>
      </c>
      <c r="AO553" s="5" t="s">
        <v>394</v>
      </c>
      <c r="AP553" s="1">
        <v>16</v>
      </c>
      <c r="AQ553" s="2">
        <v>60000</v>
      </c>
      <c r="AR553" s="1">
        <v>6</v>
      </c>
      <c r="AS553" s="1">
        <v>3</v>
      </c>
      <c r="AT553" s="1">
        <v>3</v>
      </c>
      <c r="AU553" s="1">
        <v>8</v>
      </c>
      <c r="AV553" t="s">
        <v>517</v>
      </c>
      <c r="AW553" s="1" t="s">
        <v>23</v>
      </c>
      <c r="AX553" s="1" t="s">
        <v>636</v>
      </c>
    </row>
    <row r="554" spans="40:50" x14ac:dyDescent="0.25">
      <c r="AN554" s="1" t="s">
        <v>667</v>
      </c>
      <c r="AO554" s="5" t="s">
        <v>395</v>
      </c>
      <c r="AP554" s="1">
        <v>4</v>
      </c>
      <c r="AQ554" s="2">
        <v>80000</v>
      </c>
      <c r="AR554" s="1">
        <v>6</v>
      </c>
      <c r="AS554" s="1">
        <v>3</v>
      </c>
      <c r="AT554" s="1">
        <v>3</v>
      </c>
      <c r="AU554" s="1">
        <v>7</v>
      </c>
      <c r="AV554" t="s">
        <v>548</v>
      </c>
      <c r="AW554" s="1" t="s">
        <v>641</v>
      </c>
      <c r="AX554" s="1" t="s">
        <v>324</v>
      </c>
    </row>
    <row r="555" spans="40:50" x14ac:dyDescent="0.25">
      <c r="AN555" s="1" t="s">
        <v>667</v>
      </c>
      <c r="AO555" s="5" t="s">
        <v>396</v>
      </c>
      <c r="AP555" s="1">
        <v>2</v>
      </c>
      <c r="AQ555" s="2">
        <v>90000</v>
      </c>
      <c r="AR555" s="1">
        <v>6</v>
      </c>
      <c r="AS555" s="1">
        <v>3</v>
      </c>
      <c r="AT555" s="1">
        <v>3</v>
      </c>
      <c r="AU555" s="1">
        <v>8</v>
      </c>
      <c r="AV555" t="s">
        <v>535</v>
      </c>
      <c r="AW555" s="1" t="s">
        <v>638</v>
      </c>
      <c r="AX555" s="1" t="s">
        <v>29</v>
      </c>
    </row>
    <row r="556" spans="40:50" x14ac:dyDescent="0.25">
      <c r="AN556" s="1" t="s">
        <v>667</v>
      </c>
      <c r="AO556" s="5" t="s">
        <v>397</v>
      </c>
      <c r="AP556" s="1">
        <v>1</v>
      </c>
      <c r="AQ556" s="2">
        <v>180000</v>
      </c>
      <c r="AR556" s="1">
        <v>6</v>
      </c>
      <c r="AS556" s="1">
        <v>5</v>
      </c>
      <c r="AT556" s="1">
        <v>1</v>
      </c>
      <c r="AU556" s="1">
        <v>9</v>
      </c>
      <c r="AV556" t="s">
        <v>564</v>
      </c>
      <c r="AW556" s="1" t="s">
        <v>635</v>
      </c>
      <c r="AX556" s="1" t="s">
        <v>45</v>
      </c>
    </row>
    <row r="557" spans="40:50" x14ac:dyDescent="0.25">
      <c r="AN557" s="1" t="s">
        <v>667</v>
      </c>
      <c r="AO557" s="5" t="s">
        <v>380</v>
      </c>
      <c r="AP557" s="1">
        <v>11</v>
      </c>
      <c r="AQ557" s="2">
        <v>60000</v>
      </c>
      <c r="AR557" s="1">
        <v>6</v>
      </c>
      <c r="AS557" s="1">
        <v>3</v>
      </c>
      <c r="AT557" s="1">
        <v>3</v>
      </c>
      <c r="AU557" s="1">
        <v>8</v>
      </c>
      <c r="AV557" t="s">
        <v>518</v>
      </c>
      <c r="AW557" s="1" t="s">
        <v>23</v>
      </c>
      <c r="AX557" s="1" t="s">
        <v>636</v>
      </c>
    </row>
    <row r="558" spans="40:50" x14ac:dyDescent="0.25">
      <c r="AN558" s="1" t="s">
        <v>667</v>
      </c>
      <c r="AO558" s="5" t="s">
        <v>390</v>
      </c>
      <c r="AP558" s="1">
        <v>1</v>
      </c>
      <c r="AQ558" s="2">
        <v>130000</v>
      </c>
      <c r="AR558" s="1">
        <v>5</v>
      </c>
      <c r="AS558" s="1">
        <v>4</v>
      </c>
      <c r="AT558" s="1">
        <v>3</v>
      </c>
      <c r="AU558" s="1">
        <v>8</v>
      </c>
      <c r="AV558" s="5" t="s">
        <v>514</v>
      </c>
      <c r="AW558" s="1" t="s">
        <v>37</v>
      </c>
      <c r="AX558" s="1" t="s">
        <v>37</v>
      </c>
    </row>
    <row r="559" spans="40:50" x14ac:dyDescent="0.25">
      <c r="AN559" s="1" t="s">
        <v>667</v>
      </c>
      <c r="AO559" s="99" t="s">
        <v>710</v>
      </c>
      <c r="AP559" s="1">
        <v>1</v>
      </c>
      <c r="AQ559" s="100">
        <v>170000</v>
      </c>
      <c r="AR559" s="1">
        <v>6</v>
      </c>
      <c r="AS559" s="1">
        <v>3</v>
      </c>
      <c r="AT559" s="1">
        <v>3</v>
      </c>
      <c r="AU559" s="1">
        <v>8</v>
      </c>
      <c r="AV559" s="99" t="s">
        <v>711</v>
      </c>
      <c r="AW559" s="1" t="s">
        <v>37</v>
      </c>
      <c r="AX559" s="1" t="s">
        <v>37</v>
      </c>
    </row>
    <row r="560" spans="40:50" x14ac:dyDescent="0.25">
      <c r="AN560" s="1" t="s">
        <v>667</v>
      </c>
      <c r="AO560" s="99" t="s">
        <v>705</v>
      </c>
      <c r="AP560" s="1">
        <v>1</v>
      </c>
      <c r="AQ560" s="100">
        <v>250000</v>
      </c>
      <c r="AR560" s="1">
        <v>5</v>
      </c>
      <c r="AS560" s="1">
        <v>5</v>
      </c>
      <c r="AT560" s="1">
        <v>1</v>
      </c>
      <c r="AU560" s="1">
        <v>9</v>
      </c>
      <c r="AV560" s="99" t="s">
        <v>714</v>
      </c>
      <c r="AW560" s="1" t="s">
        <v>37</v>
      </c>
      <c r="AX560" s="1" t="s">
        <v>37</v>
      </c>
    </row>
    <row r="561" spans="40:50" x14ac:dyDescent="0.25">
      <c r="AN561" s="1" t="s">
        <v>667</v>
      </c>
      <c r="AO561" s="5" t="s">
        <v>392</v>
      </c>
      <c r="AP561" s="1">
        <v>1</v>
      </c>
      <c r="AQ561" s="2">
        <v>300000</v>
      </c>
      <c r="AR561" s="1">
        <v>5</v>
      </c>
      <c r="AS561" s="1">
        <v>5</v>
      </c>
      <c r="AT561" s="1">
        <v>3</v>
      </c>
      <c r="AU561" s="1">
        <v>9</v>
      </c>
      <c r="AV561" s="5" t="s">
        <v>545</v>
      </c>
      <c r="AW561" s="1" t="s">
        <v>37</v>
      </c>
      <c r="AX561" s="1" t="s">
        <v>37</v>
      </c>
    </row>
    <row r="562" spans="40:50" x14ac:dyDescent="0.25">
      <c r="AN562" s="1" t="s">
        <v>667</v>
      </c>
      <c r="AO562" s="5" t="s">
        <v>393</v>
      </c>
      <c r="AP562" s="1">
        <v>1</v>
      </c>
      <c r="AQ562" s="2">
        <v>310000</v>
      </c>
      <c r="AR562" s="1">
        <v>6</v>
      </c>
      <c r="AS562" s="1">
        <v>6</v>
      </c>
      <c r="AT562" s="1">
        <v>2</v>
      </c>
      <c r="AU562" s="1">
        <v>8</v>
      </c>
      <c r="AV562" s="5" t="s">
        <v>534</v>
      </c>
      <c r="AW562" s="1" t="s">
        <v>37</v>
      </c>
      <c r="AX562" s="1" t="s">
        <v>37</v>
      </c>
    </row>
    <row r="563" spans="40:50" x14ac:dyDescent="0.25">
      <c r="AN563" s="1" t="s">
        <v>667</v>
      </c>
      <c r="AO563" s="99" t="s">
        <v>867</v>
      </c>
      <c r="AP563" s="92">
        <v>1</v>
      </c>
      <c r="AQ563" s="100">
        <v>380000</v>
      </c>
      <c r="AR563" s="92">
        <v>5</v>
      </c>
      <c r="AS563" s="92">
        <v>6</v>
      </c>
      <c r="AT563" s="92">
        <v>2</v>
      </c>
      <c r="AU563" s="92">
        <v>10</v>
      </c>
      <c r="AV563" s="99" t="s">
        <v>865</v>
      </c>
      <c r="AW563" s="1" t="s">
        <v>37</v>
      </c>
      <c r="AX563" s="1" t="s">
        <v>37</v>
      </c>
    </row>
    <row r="564" spans="40:50" x14ac:dyDescent="0.25">
      <c r="AN564" s="1" t="s">
        <v>667</v>
      </c>
      <c r="AO564" s="99" t="s">
        <v>879</v>
      </c>
      <c r="AP564" s="92">
        <v>16</v>
      </c>
      <c r="AQ564" s="100">
        <v>400000</v>
      </c>
      <c r="AR564" s="92">
        <v>6</v>
      </c>
      <c r="AS564" s="92">
        <v>7</v>
      </c>
      <c r="AT564" s="92">
        <v>2</v>
      </c>
      <c r="AU564" s="92">
        <v>10</v>
      </c>
      <c r="AV564" s="99" t="s">
        <v>880</v>
      </c>
      <c r="AW564" s="1" t="s">
        <v>37</v>
      </c>
      <c r="AX564" s="1" t="s">
        <v>37</v>
      </c>
    </row>
    <row r="565" spans="40:50" x14ac:dyDescent="0.25">
      <c r="AN565" s="1" t="s">
        <v>667</v>
      </c>
      <c r="AO565" s="5" t="s">
        <v>35</v>
      </c>
      <c r="AP565" s="1">
        <v>1</v>
      </c>
      <c r="AQ565" s="2">
        <v>430000</v>
      </c>
      <c r="AR565" s="1">
        <v>6</v>
      </c>
      <c r="AS565" s="1">
        <v>6</v>
      </c>
      <c r="AT565" s="1">
        <v>3</v>
      </c>
      <c r="AU565" s="1">
        <v>10</v>
      </c>
      <c r="AV565" s="5" t="s">
        <v>513</v>
      </c>
      <c r="AW565" s="1" t="s">
        <v>37</v>
      </c>
      <c r="AX565" s="1" t="s">
        <v>37</v>
      </c>
    </row>
    <row r="566" spans="40:50" x14ac:dyDescent="0.25">
      <c r="AN566" s="1" t="s">
        <v>668</v>
      </c>
      <c r="AO566" s="5"/>
      <c r="AP566" s="1"/>
      <c r="AQ566" s="2"/>
      <c r="AR566" s="1"/>
      <c r="AS566" s="1"/>
      <c r="AT566" s="1"/>
      <c r="AU566" s="1"/>
      <c r="AV566"/>
      <c r="AW566" s="1"/>
      <c r="AX566" s="1"/>
    </row>
    <row r="567" spans="40:50" x14ac:dyDescent="0.25">
      <c r="AN567" s="1" t="s">
        <v>668</v>
      </c>
      <c r="AO567" s="5" t="s">
        <v>370</v>
      </c>
      <c r="AP567" s="1">
        <v>16</v>
      </c>
      <c r="AQ567" s="2">
        <v>70000</v>
      </c>
      <c r="AR567" s="1">
        <v>6</v>
      </c>
      <c r="AS567" s="1">
        <v>3</v>
      </c>
      <c r="AT567" s="1">
        <v>4</v>
      </c>
      <c r="AU567" s="1">
        <v>8</v>
      </c>
      <c r="AV567" t="s">
        <v>647</v>
      </c>
      <c r="AW567" s="1" t="s">
        <v>24</v>
      </c>
      <c r="AX567" s="1" t="s">
        <v>634</v>
      </c>
    </row>
    <row r="568" spans="40:50" x14ac:dyDescent="0.25">
      <c r="AN568" s="1" t="s">
        <v>668</v>
      </c>
      <c r="AO568" s="5" t="s">
        <v>398</v>
      </c>
      <c r="AP568" s="1">
        <v>2</v>
      </c>
      <c r="AQ568" s="2">
        <v>80000</v>
      </c>
      <c r="AR568" s="1">
        <v>7</v>
      </c>
      <c r="AS568" s="1">
        <v>3</v>
      </c>
      <c r="AT568" s="1">
        <v>4</v>
      </c>
      <c r="AU568" s="1">
        <v>7</v>
      </c>
      <c r="AV568" t="s">
        <v>567</v>
      </c>
      <c r="AW568" s="1" t="s">
        <v>45</v>
      </c>
      <c r="AX568" s="1" t="s">
        <v>635</v>
      </c>
    </row>
    <row r="569" spans="40:50" x14ac:dyDescent="0.25">
      <c r="AN569" s="1" t="s">
        <v>668</v>
      </c>
      <c r="AO569" s="5" t="s">
        <v>399</v>
      </c>
      <c r="AP569" s="1">
        <v>2</v>
      </c>
      <c r="AQ569" s="2">
        <v>90000</v>
      </c>
      <c r="AR569" s="1">
        <v>6</v>
      </c>
      <c r="AS569" s="1">
        <v>3</v>
      </c>
      <c r="AT569" s="1">
        <v>4</v>
      </c>
      <c r="AU569" s="1">
        <v>7</v>
      </c>
      <c r="AV569" t="s">
        <v>568</v>
      </c>
      <c r="AW569" s="1" t="s">
        <v>24</v>
      </c>
      <c r="AX569" s="1" t="s">
        <v>634</v>
      </c>
    </row>
    <row r="570" spans="40:50" x14ac:dyDescent="0.25">
      <c r="AN570" s="1" t="s">
        <v>668</v>
      </c>
      <c r="AO570" s="5" t="s">
        <v>5</v>
      </c>
      <c r="AP570" s="1">
        <v>4</v>
      </c>
      <c r="AQ570" s="2">
        <v>100000</v>
      </c>
      <c r="AR570" s="1">
        <v>7</v>
      </c>
      <c r="AS570" s="1">
        <v>3</v>
      </c>
      <c r="AT570" s="1">
        <v>4</v>
      </c>
      <c r="AU570" s="1">
        <v>8</v>
      </c>
      <c r="AV570" t="s">
        <v>476</v>
      </c>
      <c r="AW570" s="1" t="s">
        <v>24</v>
      </c>
      <c r="AX570" s="1" t="s">
        <v>634</v>
      </c>
    </row>
    <row r="571" spans="40:50" x14ac:dyDescent="0.25">
      <c r="AN571" s="1" t="s">
        <v>668</v>
      </c>
      <c r="AO571" s="5" t="s">
        <v>400</v>
      </c>
      <c r="AP571" s="1">
        <v>2</v>
      </c>
      <c r="AQ571" s="2">
        <v>110000</v>
      </c>
      <c r="AR571" s="1">
        <v>7</v>
      </c>
      <c r="AS571" s="1">
        <v>3</v>
      </c>
      <c r="AT571" s="1">
        <v>4</v>
      </c>
      <c r="AU571" s="1">
        <v>7</v>
      </c>
      <c r="AV571" t="s">
        <v>519</v>
      </c>
      <c r="AW571" s="1" t="s">
        <v>24</v>
      </c>
      <c r="AX571" s="1" t="s">
        <v>634</v>
      </c>
    </row>
    <row r="572" spans="40:50" x14ac:dyDescent="0.25">
      <c r="AN572" s="1" t="s">
        <v>668</v>
      </c>
      <c r="AO572" s="5" t="s">
        <v>380</v>
      </c>
      <c r="AP572" s="1">
        <v>11</v>
      </c>
      <c r="AQ572" s="2">
        <v>70000</v>
      </c>
      <c r="AR572" s="1">
        <v>6</v>
      </c>
      <c r="AS572" s="1">
        <v>3</v>
      </c>
      <c r="AT572" s="1">
        <v>4</v>
      </c>
      <c r="AU572" s="1">
        <v>8</v>
      </c>
      <c r="AV572" t="s">
        <v>478</v>
      </c>
      <c r="AW572" s="1" t="s">
        <v>24</v>
      </c>
      <c r="AX572" s="1" t="s">
        <v>634</v>
      </c>
    </row>
    <row r="573" spans="40:50" x14ac:dyDescent="0.25">
      <c r="AN573" s="1" t="s">
        <v>668</v>
      </c>
      <c r="AO573" s="99" t="s">
        <v>736</v>
      </c>
      <c r="AP573" s="92">
        <v>1</v>
      </c>
      <c r="AQ573" s="100">
        <v>160000</v>
      </c>
      <c r="AR573" s="92">
        <v>6</v>
      </c>
      <c r="AS573" s="92">
        <v>3</v>
      </c>
      <c r="AT573" s="92">
        <v>4</v>
      </c>
      <c r="AU573" s="92">
        <v>8</v>
      </c>
      <c r="AV573" s="65" t="s">
        <v>730</v>
      </c>
      <c r="AW573" s="1" t="s">
        <v>37</v>
      </c>
      <c r="AX573" s="1" t="s">
        <v>37</v>
      </c>
    </row>
    <row r="574" spans="40:50" x14ac:dyDescent="0.25">
      <c r="AN574" s="1" t="s">
        <v>668</v>
      </c>
      <c r="AO574" s="99" t="s">
        <v>735</v>
      </c>
      <c r="AP574" s="92">
        <v>1</v>
      </c>
      <c r="AQ574" s="100">
        <v>170000</v>
      </c>
      <c r="AR574" s="92">
        <v>7</v>
      </c>
      <c r="AS574" s="92">
        <v>3</v>
      </c>
      <c r="AT574" s="92">
        <v>4</v>
      </c>
      <c r="AU574" s="92">
        <v>8</v>
      </c>
      <c r="AV574" s="65" t="s">
        <v>731</v>
      </c>
      <c r="AW574" s="1" t="s">
        <v>37</v>
      </c>
      <c r="AX574" s="1" t="s">
        <v>37</v>
      </c>
    </row>
    <row r="575" spans="40:50" x14ac:dyDescent="0.25">
      <c r="AN575" s="1" t="s">
        <v>668</v>
      </c>
      <c r="AO575" s="99" t="s">
        <v>737</v>
      </c>
      <c r="AP575" s="92">
        <v>1</v>
      </c>
      <c r="AQ575" s="100">
        <v>190000</v>
      </c>
      <c r="AR575" s="92">
        <v>6</v>
      </c>
      <c r="AS575" s="92">
        <v>3</v>
      </c>
      <c r="AT575" s="92">
        <v>4</v>
      </c>
      <c r="AU575" s="92">
        <v>9</v>
      </c>
      <c r="AV575" s="65" t="s">
        <v>732</v>
      </c>
      <c r="AW575" s="1" t="s">
        <v>37</v>
      </c>
      <c r="AX575" s="1" t="s">
        <v>37</v>
      </c>
    </row>
    <row r="576" spans="40:50" x14ac:dyDescent="0.25">
      <c r="AN576" s="1" t="s">
        <v>668</v>
      </c>
      <c r="AO576" s="5" t="s">
        <v>373</v>
      </c>
      <c r="AP576" s="1">
        <v>1</v>
      </c>
      <c r="AQ576" s="2">
        <v>200000</v>
      </c>
      <c r="AR576" s="1">
        <v>8</v>
      </c>
      <c r="AS576" s="1">
        <v>3</v>
      </c>
      <c r="AT576" s="1">
        <v>4</v>
      </c>
      <c r="AU576" s="1">
        <v>7</v>
      </c>
      <c r="AV576" s="5" t="s">
        <v>495</v>
      </c>
      <c r="AW576" s="1" t="s">
        <v>37</v>
      </c>
      <c r="AX576" s="1" t="s">
        <v>37</v>
      </c>
    </row>
    <row r="577" spans="40:50" x14ac:dyDescent="0.25">
      <c r="AN577" s="1" t="s">
        <v>668</v>
      </c>
      <c r="AO577" s="5" t="s">
        <v>401</v>
      </c>
      <c r="AP577" s="1">
        <v>1</v>
      </c>
      <c r="AQ577" s="2">
        <v>210000</v>
      </c>
      <c r="AR577" s="1">
        <v>7</v>
      </c>
      <c r="AS577" s="1">
        <v>3</v>
      </c>
      <c r="AT577" s="1">
        <v>4</v>
      </c>
      <c r="AU577" s="1">
        <v>7</v>
      </c>
      <c r="AV577" s="5" t="s">
        <v>578</v>
      </c>
      <c r="AW577" s="1" t="s">
        <v>37</v>
      </c>
      <c r="AX577" s="1" t="s">
        <v>37</v>
      </c>
    </row>
    <row r="578" spans="40:50" x14ac:dyDescent="0.25">
      <c r="AN578" s="1" t="s">
        <v>668</v>
      </c>
      <c r="AO578" s="5" t="s">
        <v>113</v>
      </c>
      <c r="AP578" s="1">
        <v>1</v>
      </c>
      <c r="AQ578" s="2">
        <v>220000</v>
      </c>
      <c r="AR578" s="1">
        <v>7</v>
      </c>
      <c r="AS578" s="1">
        <v>3</v>
      </c>
      <c r="AT578" s="1">
        <v>3</v>
      </c>
      <c r="AU578" s="1">
        <v>7</v>
      </c>
      <c r="AV578" s="5" t="s">
        <v>569</v>
      </c>
      <c r="AW578" s="1" t="s">
        <v>37</v>
      </c>
      <c r="AX578" s="1" t="s">
        <v>37</v>
      </c>
    </row>
    <row r="579" spans="40:50" x14ac:dyDescent="0.25">
      <c r="AN579" s="1" t="s">
        <v>668</v>
      </c>
      <c r="AO579" s="5" t="s">
        <v>738</v>
      </c>
      <c r="AP579" s="1">
        <v>1</v>
      </c>
      <c r="AQ579" s="2">
        <v>230000</v>
      </c>
      <c r="AR579" s="1">
        <v>7</v>
      </c>
      <c r="AS579" s="1">
        <v>3</v>
      </c>
      <c r="AT579" s="1">
        <v>4</v>
      </c>
      <c r="AU579" s="1">
        <v>7</v>
      </c>
      <c r="AV579" s="5" t="s">
        <v>733</v>
      </c>
      <c r="AW579" s="1" t="s">
        <v>37</v>
      </c>
      <c r="AX579" s="1" t="s">
        <v>37</v>
      </c>
    </row>
    <row r="580" spans="40:50" x14ac:dyDescent="0.25">
      <c r="AN580" s="1" t="s">
        <v>668</v>
      </c>
      <c r="AO580" s="5" t="s">
        <v>383</v>
      </c>
      <c r="AP580" s="1">
        <v>1</v>
      </c>
      <c r="AQ580" s="2">
        <v>250000</v>
      </c>
      <c r="AR580" s="1">
        <v>8</v>
      </c>
      <c r="AS580" s="1">
        <v>3</v>
      </c>
      <c r="AT580" s="1">
        <v>5</v>
      </c>
      <c r="AU580" s="1">
        <v>7</v>
      </c>
      <c r="AV580" s="5" t="s">
        <v>522</v>
      </c>
      <c r="AW580" s="1" t="s">
        <v>37</v>
      </c>
      <c r="AX580" s="1" t="s">
        <v>37</v>
      </c>
    </row>
    <row r="581" spans="40:50" x14ac:dyDescent="0.25">
      <c r="AN581" s="1" t="s">
        <v>668</v>
      </c>
      <c r="AO581" s="5" t="s">
        <v>287</v>
      </c>
      <c r="AP581" s="1">
        <v>1</v>
      </c>
      <c r="AQ581" s="2">
        <v>260000</v>
      </c>
      <c r="AR581" s="1">
        <v>7</v>
      </c>
      <c r="AS581" s="1">
        <v>4</v>
      </c>
      <c r="AT581" s="1">
        <v>4</v>
      </c>
      <c r="AU581" s="1">
        <v>8</v>
      </c>
      <c r="AV581" s="5" t="s">
        <v>547</v>
      </c>
      <c r="AW581" s="1" t="s">
        <v>37</v>
      </c>
      <c r="AX581" s="1" t="s">
        <v>37</v>
      </c>
    </row>
    <row r="582" spans="40:50" x14ac:dyDescent="0.25">
      <c r="AN582" s="1" t="s">
        <v>668</v>
      </c>
      <c r="AO582" s="99" t="s">
        <v>867</v>
      </c>
      <c r="AP582" s="92">
        <v>1</v>
      </c>
      <c r="AQ582" s="100">
        <v>380000</v>
      </c>
      <c r="AR582" s="92">
        <v>5</v>
      </c>
      <c r="AS582" s="92">
        <v>6</v>
      </c>
      <c r="AT582" s="92">
        <v>2</v>
      </c>
      <c r="AU582" s="92">
        <v>10</v>
      </c>
      <c r="AV582" s="99" t="s">
        <v>865</v>
      </c>
      <c r="AW582" s="1" t="s">
        <v>37</v>
      </c>
      <c r="AX582" s="1" t="s">
        <v>37</v>
      </c>
    </row>
    <row r="583" spans="40:50" x14ac:dyDescent="0.25">
      <c r="AN583" s="1" t="s">
        <v>668</v>
      </c>
      <c r="AO583" s="5" t="s">
        <v>868</v>
      </c>
      <c r="AP583" s="1">
        <v>1</v>
      </c>
      <c r="AQ583" s="2">
        <v>390000</v>
      </c>
      <c r="AR583" s="1">
        <v>8</v>
      </c>
      <c r="AS583" s="1">
        <v>3</v>
      </c>
      <c r="AT583" s="1">
        <v>5</v>
      </c>
      <c r="AU583" s="1">
        <v>7</v>
      </c>
      <c r="AV583" s="5" t="s">
        <v>734</v>
      </c>
      <c r="AW583" s="1" t="s">
        <v>37</v>
      </c>
      <c r="AX583" s="1" t="s">
        <v>37</v>
      </c>
    </row>
    <row r="584" spans="40:50" x14ac:dyDescent="0.25">
      <c r="AN584" s="1" t="s">
        <v>668</v>
      </c>
      <c r="AO584" s="99" t="s">
        <v>879</v>
      </c>
      <c r="AP584" s="92">
        <v>16</v>
      </c>
      <c r="AQ584" s="100">
        <v>400000</v>
      </c>
      <c r="AR584" s="92">
        <v>6</v>
      </c>
      <c r="AS584" s="92">
        <v>7</v>
      </c>
      <c r="AT584" s="92">
        <v>2</v>
      </c>
      <c r="AU584" s="92">
        <v>10</v>
      </c>
      <c r="AV584" s="99" t="s">
        <v>880</v>
      </c>
      <c r="AW584" s="1" t="s">
        <v>37</v>
      </c>
      <c r="AX584" s="1" t="s">
        <v>37</v>
      </c>
    </row>
    <row r="585" spans="40:50" x14ac:dyDescent="0.25">
      <c r="AN585" s="1" t="s">
        <v>668</v>
      </c>
      <c r="AO585" s="5" t="s">
        <v>35</v>
      </c>
      <c r="AP585" s="1">
        <v>1</v>
      </c>
      <c r="AQ585" s="2">
        <v>430000</v>
      </c>
      <c r="AR585" s="1">
        <v>6</v>
      </c>
      <c r="AS585" s="1">
        <v>6</v>
      </c>
      <c r="AT585" s="1">
        <v>3</v>
      </c>
      <c r="AU585" s="1">
        <v>10</v>
      </c>
      <c r="AV585" s="5" t="s">
        <v>513</v>
      </c>
      <c r="AW585" s="1" t="s">
        <v>37</v>
      </c>
      <c r="AX585" s="1" t="s">
        <v>37</v>
      </c>
    </row>
    <row r="586" spans="40:50" x14ac:dyDescent="0.25">
      <c r="AN586" s="1" t="s">
        <v>669</v>
      </c>
      <c r="AO586" s="5"/>
      <c r="AP586" s="1"/>
      <c r="AQ586" s="2"/>
      <c r="AR586" s="1"/>
      <c r="AS586" s="1"/>
      <c r="AT586" s="1"/>
      <c r="AU586" s="1"/>
      <c r="AV586"/>
      <c r="AW586" s="1"/>
      <c r="AX586" s="1"/>
    </row>
    <row r="587" spans="40:50" x14ac:dyDescent="0.25">
      <c r="AN587" s="1" t="s">
        <v>669</v>
      </c>
      <c r="AO587" s="5" t="s">
        <v>370</v>
      </c>
      <c r="AP587" s="1">
        <v>16</v>
      </c>
      <c r="AQ587" s="2">
        <v>60000</v>
      </c>
      <c r="AR587" s="1">
        <v>6</v>
      </c>
      <c r="AS587" s="1">
        <v>3</v>
      </c>
      <c r="AT587" s="1">
        <v>4</v>
      </c>
      <c r="AU587" s="1">
        <v>7</v>
      </c>
      <c r="AV587" t="s">
        <v>647</v>
      </c>
      <c r="AW587" s="1" t="s">
        <v>24</v>
      </c>
      <c r="AX587" s="1" t="s">
        <v>634</v>
      </c>
    </row>
    <row r="588" spans="40:50" x14ac:dyDescent="0.25">
      <c r="AN588" s="1" t="s">
        <v>669</v>
      </c>
      <c r="AO588" s="5" t="s">
        <v>371</v>
      </c>
      <c r="AP588" s="1">
        <v>2</v>
      </c>
      <c r="AQ588" s="2">
        <v>70000</v>
      </c>
      <c r="AR588" s="1">
        <v>6</v>
      </c>
      <c r="AS588" s="1">
        <v>3</v>
      </c>
      <c r="AT588" s="1">
        <v>4</v>
      </c>
      <c r="AU588" s="1">
        <v>7</v>
      </c>
      <c r="AV588" t="s">
        <v>473</v>
      </c>
      <c r="AW588" s="1" t="s">
        <v>45</v>
      </c>
      <c r="AX588" s="1" t="s">
        <v>635</v>
      </c>
    </row>
    <row r="589" spans="40:50" x14ac:dyDescent="0.25">
      <c r="AN589" s="1" t="s">
        <v>669</v>
      </c>
      <c r="AO589" s="5" t="s">
        <v>372</v>
      </c>
      <c r="AP589" s="1">
        <v>4</v>
      </c>
      <c r="AQ589" s="2">
        <v>100000</v>
      </c>
      <c r="AR589" s="1">
        <v>8</v>
      </c>
      <c r="AS589" s="1">
        <v>3</v>
      </c>
      <c r="AT589" s="1">
        <v>4</v>
      </c>
      <c r="AU589" s="1">
        <v>7</v>
      </c>
      <c r="AV589" t="s">
        <v>496</v>
      </c>
      <c r="AW589" s="1" t="s">
        <v>24</v>
      </c>
      <c r="AX589" s="1" t="s">
        <v>634</v>
      </c>
    </row>
    <row r="590" spans="40:50" x14ac:dyDescent="0.25">
      <c r="AN590" s="1" t="s">
        <v>669</v>
      </c>
      <c r="AO590" s="5" t="s">
        <v>5</v>
      </c>
      <c r="AP590" s="1">
        <v>2</v>
      </c>
      <c r="AQ590" s="2">
        <v>110000</v>
      </c>
      <c r="AR590" s="1">
        <v>7</v>
      </c>
      <c r="AS590" s="1">
        <v>3</v>
      </c>
      <c r="AT590" s="1">
        <v>4</v>
      </c>
      <c r="AU590" s="1">
        <v>8</v>
      </c>
      <c r="AV590" t="s">
        <v>486</v>
      </c>
      <c r="AW590" s="1" t="s">
        <v>24</v>
      </c>
      <c r="AX590" s="1" t="s">
        <v>634</v>
      </c>
    </row>
    <row r="591" spans="40:50" x14ac:dyDescent="0.25">
      <c r="AN591" s="1" t="s">
        <v>669</v>
      </c>
      <c r="AO591" s="5" t="s">
        <v>380</v>
      </c>
      <c r="AP591" s="1">
        <v>11</v>
      </c>
      <c r="AQ591" s="2">
        <v>60000</v>
      </c>
      <c r="AR591" s="1">
        <v>6</v>
      </c>
      <c r="AS591" s="1">
        <v>3</v>
      </c>
      <c r="AT591" s="1">
        <v>4</v>
      </c>
      <c r="AU591" s="1">
        <v>7</v>
      </c>
      <c r="AV591" t="s">
        <v>478</v>
      </c>
      <c r="AW591" s="1" t="s">
        <v>24</v>
      </c>
      <c r="AX591" s="1" t="s">
        <v>634</v>
      </c>
    </row>
    <row r="592" spans="40:50" x14ac:dyDescent="0.25">
      <c r="AN592" s="1" t="s">
        <v>669</v>
      </c>
      <c r="AO592" s="5" t="s">
        <v>377</v>
      </c>
      <c r="AP592" s="1">
        <v>1</v>
      </c>
      <c r="AQ592" s="2">
        <v>150000</v>
      </c>
      <c r="AR592" s="1">
        <v>7</v>
      </c>
      <c r="AS592" s="1">
        <v>3</v>
      </c>
      <c r="AT592" s="1">
        <v>4</v>
      </c>
      <c r="AU592" s="1">
        <v>7</v>
      </c>
      <c r="AV592" s="5" t="s">
        <v>573</v>
      </c>
      <c r="AW592" s="1" t="s">
        <v>37</v>
      </c>
      <c r="AX592" s="1" t="s">
        <v>37</v>
      </c>
    </row>
    <row r="593" spans="40:50" x14ac:dyDescent="0.25">
      <c r="AN593" s="1" t="s">
        <v>669</v>
      </c>
      <c r="AO593" s="99" t="s">
        <v>736</v>
      </c>
      <c r="AP593" s="92">
        <v>1</v>
      </c>
      <c r="AQ593" s="100">
        <v>160000</v>
      </c>
      <c r="AR593" s="92">
        <v>6</v>
      </c>
      <c r="AS593" s="92">
        <v>3</v>
      </c>
      <c r="AT593" s="92">
        <v>4</v>
      </c>
      <c r="AU593" s="92">
        <v>8</v>
      </c>
      <c r="AV593" s="65" t="s">
        <v>730</v>
      </c>
      <c r="AW593" s="1" t="s">
        <v>37</v>
      </c>
      <c r="AX593" s="1" t="s">
        <v>37</v>
      </c>
    </row>
    <row r="594" spans="40:50" x14ac:dyDescent="0.25">
      <c r="AN594" s="1" t="s">
        <v>669</v>
      </c>
      <c r="AO594" s="99" t="s">
        <v>735</v>
      </c>
      <c r="AP594" s="92">
        <v>1</v>
      </c>
      <c r="AQ594" s="100">
        <v>170000</v>
      </c>
      <c r="AR594" s="92">
        <v>7</v>
      </c>
      <c r="AS594" s="92">
        <v>3</v>
      </c>
      <c r="AT594" s="92">
        <v>4</v>
      </c>
      <c r="AU594" s="92">
        <v>8</v>
      </c>
      <c r="AV594" s="65" t="s">
        <v>731</v>
      </c>
      <c r="AW594" s="1" t="s">
        <v>37</v>
      </c>
      <c r="AX594" s="1" t="s">
        <v>37</v>
      </c>
    </row>
    <row r="595" spans="40:50" x14ac:dyDescent="0.25">
      <c r="AN595" s="1" t="s">
        <v>669</v>
      </c>
      <c r="AO595" s="99" t="s">
        <v>737</v>
      </c>
      <c r="AP595" s="92">
        <v>1</v>
      </c>
      <c r="AQ595" s="100">
        <v>190000</v>
      </c>
      <c r="AR595" s="92">
        <v>6</v>
      </c>
      <c r="AS595" s="92">
        <v>3</v>
      </c>
      <c r="AT595" s="92">
        <v>4</v>
      </c>
      <c r="AU595" s="92">
        <v>9</v>
      </c>
      <c r="AV595" s="65" t="s">
        <v>732</v>
      </c>
      <c r="AW595" s="1" t="s">
        <v>37</v>
      </c>
      <c r="AX595" s="1" t="s">
        <v>37</v>
      </c>
    </row>
    <row r="596" spans="40:50" x14ac:dyDescent="0.25">
      <c r="AN596" s="1" t="s">
        <v>669</v>
      </c>
      <c r="AO596" s="5" t="s">
        <v>373</v>
      </c>
      <c r="AP596" s="1">
        <v>1</v>
      </c>
      <c r="AQ596" s="2">
        <v>200000</v>
      </c>
      <c r="AR596" s="1">
        <v>8</v>
      </c>
      <c r="AS596" s="1">
        <v>3</v>
      </c>
      <c r="AT596" s="1">
        <v>4</v>
      </c>
      <c r="AU596" s="1">
        <v>7</v>
      </c>
      <c r="AV596" s="5" t="s">
        <v>495</v>
      </c>
      <c r="AW596" s="1" t="s">
        <v>37</v>
      </c>
      <c r="AX596" s="1" t="s">
        <v>37</v>
      </c>
    </row>
    <row r="597" spans="40:50" x14ac:dyDescent="0.25">
      <c r="AN597" s="1" t="s">
        <v>669</v>
      </c>
      <c r="AO597" s="5" t="s">
        <v>375</v>
      </c>
      <c r="AP597" s="1">
        <v>1</v>
      </c>
      <c r="AQ597" s="2">
        <v>230000</v>
      </c>
      <c r="AR597" s="1">
        <v>7</v>
      </c>
      <c r="AS597" s="1">
        <v>4</v>
      </c>
      <c r="AT597" s="1">
        <v>4</v>
      </c>
      <c r="AU597" s="1">
        <v>8</v>
      </c>
      <c r="AV597" s="5" t="s">
        <v>499</v>
      </c>
      <c r="AW597" s="1" t="s">
        <v>37</v>
      </c>
      <c r="AX597" s="1" t="s">
        <v>37</v>
      </c>
    </row>
    <row r="598" spans="40:50" x14ac:dyDescent="0.25">
      <c r="AN598" s="1" t="s">
        <v>669</v>
      </c>
      <c r="AO598" s="5" t="s">
        <v>287</v>
      </c>
      <c r="AP598" s="1">
        <v>1</v>
      </c>
      <c r="AQ598" s="2">
        <v>260000</v>
      </c>
      <c r="AR598" s="1">
        <v>7</v>
      </c>
      <c r="AS598" s="1">
        <v>4</v>
      </c>
      <c r="AT598" s="1">
        <v>4</v>
      </c>
      <c r="AU598" s="1">
        <v>8</v>
      </c>
      <c r="AV598" s="5" t="s">
        <v>547</v>
      </c>
      <c r="AW598" s="1" t="s">
        <v>37</v>
      </c>
      <c r="AX598" s="1" t="s">
        <v>37</v>
      </c>
    </row>
    <row r="599" spans="40:50" x14ac:dyDescent="0.25">
      <c r="AN599" s="1" t="s">
        <v>669</v>
      </c>
      <c r="AO599" s="5" t="s">
        <v>402</v>
      </c>
      <c r="AP599" s="1">
        <v>1</v>
      </c>
      <c r="AQ599" s="2">
        <v>260000</v>
      </c>
      <c r="AR599" s="1">
        <v>8</v>
      </c>
      <c r="AS599" s="1">
        <v>3</v>
      </c>
      <c r="AT599" s="1">
        <v>5</v>
      </c>
      <c r="AU599" s="1">
        <v>7</v>
      </c>
      <c r="AV599" s="5" t="s">
        <v>523</v>
      </c>
      <c r="AW599" s="1" t="s">
        <v>37</v>
      </c>
      <c r="AX599" s="1" t="s">
        <v>37</v>
      </c>
    </row>
    <row r="600" spans="40:50" x14ac:dyDescent="0.25">
      <c r="AN600" s="1" t="s">
        <v>669</v>
      </c>
      <c r="AO600" s="99" t="s">
        <v>867</v>
      </c>
      <c r="AP600" s="92">
        <v>1</v>
      </c>
      <c r="AQ600" s="100">
        <v>380000</v>
      </c>
      <c r="AR600" s="92">
        <v>5</v>
      </c>
      <c r="AS600" s="92">
        <v>6</v>
      </c>
      <c r="AT600" s="92">
        <v>2</v>
      </c>
      <c r="AU600" s="92">
        <v>10</v>
      </c>
      <c r="AV600" s="99" t="s">
        <v>865</v>
      </c>
      <c r="AW600" s="1" t="s">
        <v>37</v>
      </c>
      <c r="AX600" s="1" t="s">
        <v>37</v>
      </c>
    </row>
    <row r="601" spans="40:50" x14ac:dyDescent="0.25">
      <c r="AN601" s="1" t="s">
        <v>669</v>
      </c>
      <c r="AO601" s="5" t="s">
        <v>841</v>
      </c>
      <c r="AP601" s="1">
        <v>1</v>
      </c>
      <c r="AQ601" s="2">
        <v>390000</v>
      </c>
      <c r="AR601" s="1">
        <v>7</v>
      </c>
      <c r="AS601" s="1">
        <v>3</v>
      </c>
      <c r="AT601" s="1">
        <v>4</v>
      </c>
      <c r="AU601" s="1">
        <v>8</v>
      </c>
      <c r="AV601" s="5" t="s">
        <v>503</v>
      </c>
      <c r="AW601" s="1" t="s">
        <v>37</v>
      </c>
      <c r="AX601" s="1" t="s">
        <v>37</v>
      </c>
    </row>
    <row r="602" spans="40:50" x14ac:dyDescent="0.25">
      <c r="AN602" s="1" t="s">
        <v>669</v>
      </c>
      <c r="AO602" s="5" t="s">
        <v>842</v>
      </c>
      <c r="AP602" s="1">
        <v>1</v>
      </c>
      <c r="AQ602" s="1" t="s">
        <v>37</v>
      </c>
      <c r="AR602" s="1">
        <v>7</v>
      </c>
      <c r="AS602" s="1">
        <v>3</v>
      </c>
      <c r="AT602" s="1">
        <v>5</v>
      </c>
      <c r="AU602" s="1">
        <v>7</v>
      </c>
      <c r="AV602" s="5" t="s">
        <v>505</v>
      </c>
      <c r="AW602" s="1" t="s">
        <v>37</v>
      </c>
      <c r="AX602" s="1" t="s">
        <v>37</v>
      </c>
    </row>
    <row r="603" spans="40:50" x14ac:dyDescent="0.25">
      <c r="AN603" s="1" t="s">
        <v>669</v>
      </c>
      <c r="AO603" s="99" t="s">
        <v>879</v>
      </c>
      <c r="AP603" s="92">
        <v>16</v>
      </c>
      <c r="AQ603" s="100">
        <v>400000</v>
      </c>
      <c r="AR603" s="92">
        <v>6</v>
      </c>
      <c r="AS603" s="92">
        <v>7</v>
      </c>
      <c r="AT603" s="92">
        <v>2</v>
      </c>
      <c r="AU603" s="92">
        <v>10</v>
      </c>
      <c r="AV603" s="99" t="s">
        <v>880</v>
      </c>
      <c r="AW603" s="1" t="s">
        <v>37</v>
      </c>
      <c r="AX603" s="1" t="s">
        <v>37</v>
      </c>
    </row>
    <row r="604" spans="40:50" x14ac:dyDescent="0.25">
      <c r="AN604" s="1" t="s">
        <v>669</v>
      </c>
      <c r="AO604" s="5" t="s">
        <v>35</v>
      </c>
      <c r="AP604" s="1">
        <v>1</v>
      </c>
      <c r="AQ604" s="2">
        <v>430000</v>
      </c>
      <c r="AR604" s="1">
        <v>6</v>
      </c>
      <c r="AS604" s="1">
        <v>6</v>
      </c>
      <c r="AT604" s="1">
        <v>3</v>
      </c>
      <c r="AU604" s="1">
        <v>10</v>
      </c>
      <c r="AV604" s="5" t="s">
        <v>513</v>
      </c>
      <c r="AW604" s="1" t="s">
        <v>37</v>
      </c>
      <c r="AX604" s="1" t="s">
        <v>37</v>
      </c>
    </row>
    <row r="605" spans="40:50" x14ac:dyDescent="0.25">
      <c r="AN605" s="1" t="s">
        <v>670</v>
      </c>
      <c r="AO605" s="5"/>
      <c r="AP605" s="1"/>
      <c r="AQ605" s="2"/>
      <c r="AR605" s="1"/>
      <c r="AS605" s="1"/>
      <c r="AT605" s="1"/>
      <c r="AU605" s="1"/>
      <c r="AV605"/>
      <c r="AW605" s="1"/>
      <c r="AX605" s="1"/>
    </row>
    <row r="606" spans="40:50" x14ac:dyDescent="0.25">
      <c r="AN606" s="1" t="s">
        <v>670</v>
      </c>
      <c r="AO606" s="5" t="s">
        <v>370</v>
      </c>
      <c r="AP606" s="1">
        <v>16</v>
      </c>
      <c r="AQ606" s="2">
        <v>70000</v>
      </c>
      <c r="AR606" s="1">
        <v>7</v>
      </c>
      <c r="AS606" s="1">
        <v>3</v>
      </c>
      <c r="AT606" s="1">
        <v>4</v>
      </c>
      <c r="AU606" s="1">
        <v>7</v>
      </c>
      <c r="AV606" t="s">
        <v>647</v>
      </c>
      <c r="AW606" s="1" t="s">
        <v>24</v>
      </c>
      <c r="AX606" s="1" t="s">
        <v>634</v>
      </c>
    </row>
    <row r="607" spans="40:50" x14ac:dyDescent="0.25">
      <c r="AN607" s="1" t="s">
        <v>670</v>
      </c>
      <c r="AO607" s="5" t="s">
        <v>372</v>
      </c>
      <c r="AP607" s="1">
        <v>4</v>
      </c>
      <c r="AQ607" s="2">
        <v>90000</v>
      </c>
      <c r="AR607" s="1">
        <v>8</v>
      </c>
      <c r="AS607" s="1">
        <v>2</v>
      </c>
      <c r="AT607" s="1">
        <v>4</v>
      </c>
      <c r="AU607" s="1">
        <v>7</v>
      </c>
      <c r="AV607" t="s">
        <v>487</v>
      </c>
      <c r="AW607" s="1" t="s">
        <v>24</v>
      </c>
      <c r="AX607" s="1" t="s">
        <v>634</v>
      </c>
    </row>
    <row r="608" spans="40:50" x14ac:dyDescent="0.25">
      <c r="AN608" s="1" t="s">
        <v>670</v>
      </c>
      <c r="AO608" s="5" t="s">
        <v>371</v>
      </c>
      <c r="AP608" s="1">
        <v>2</v>
      </c>
      <c r="AQ608" s="2">
        <v>90000</v>
      </c>
      <c r="AR608" s="1">
        <v>7</v>
      </c>
      <c r="AS608" s="1">
        <v>3</v>
      </c>
      <c r="AT608" s="1">
        <v>4</v>
      </c>
      <c r="AU608" s="1">
        <v>7</v>
      </c>
      <c r="AV608" t="s">
        <v>473</v>
      </c>
      <c r="AW608" s="1" t="s">
        <v>45</v>
      </c>
      <c r="AX608" s="1" t="s">
        <v>635</v>
      </c>
    </row>
    <row r="609" spans="40:50" x14ac:dyDescent="0.25">
      <c r="AN609" s="1" t="s">
        <v>670</v>
      </c>
      <c r="AO609" s="5" t="s">
        <v>403</v>
      </c>
      <c r="AP609" s="1">
        <v>2</v>
      </c>
      <c r="AQ609" s="2">
        <v>120000</v>
      </c>
      <c r="AR609" s="1">
        <v>8</v>
      </c>
      <c r="AS609" s="1">
        <v>3</v>
      </c>
      <c r="AT609" s="1">
        <v>4</v>
      </c>
      <c r="AU609" s="1">
        <v>7</v>
      </c>
      <c r="AV609" t="s">
        <v>524</v>
      </c>
      <c r="AW609" s="1" t="s">
        <v>24</v>
      </c>
      <c r="AX609" s="1" t="s">
        <v>634</v>
      </c>
    </row>
    <row r="610" spans="40:50" x14ac:dyDescent="0.25">
      <c r="AN610" s="1" t="s">
        <v>670</v>
      </c>
      <c r="AO610" s="5" t="s">
        <v>404</v>
      </c>
      <c r="AP610" s="1">
        <v>1</v>
      </c>
      <c r="AQ610" s="2">
        <v>120000</v>
      </c>
      <c r="AR610" s="1">
        <v>2</v>
      </c>
      <c r="AS610" s="1">
        <v>6</v>
      </c>
      <c r="AT610" s="1">
        <v>1</v>
      </c>
      <c r="AU610" s="1">
        <v>10</v>
      </c>
      <c r="AV610" t="s">
        <v>571</v>
      </c>
      <c r="AW610" s="1" t="s">
        <v>635</v>
      </c>
      <c r="AX610" s="1" t="s">
        <v>45</v>
      </c>
    </row>
    <row r="611" spans="40:50" x14ac:dyDescent="0.25">
      <c r="AN611" s="1" t="s">
        <v>670</v>
      </c>
      <c r="AO611" s="5" t="s">
        <v>380</v>
      </c>
      <c r="AP611" s="1">
        <v>11</v>
      </c>
      <c r="AQ611" s="2">
        <v>70000</v>
      </c>
      <c r="AR611" s="1">
        <v>7</v>
      </c>
      <c r="AS611" s="1">
        <v>3</v>
      </c>
      <c r="AT611" s="1">
        <v>4</v>
      </c>
      <c r="AU611" s="1">
        <v>7</v>
      </c>
      <c r="AV611" t="s">
        <v>478</v>
      </c>
      <c r="AW611" s="1" t="s">
        <v>24</v>
      </c>
      <c r="AX611" s="1" t="s">
        <v>634</v>
      </c>
    </row>
    <row r="612" spans="40:50" x14ac:dyDescent="0.25">
      <c r="AN612" s="1" t="s">
        <v>670</v>
      </c>
      <c r="AO612" s="99" t="s">
        <v>829</v>
      </c>
      <c r="AP612" s="92">
        <v>1</v>
      </c>
      <c r="AQ612" s="100">
        <v>130000</v>
      </c>
      <c r="AR612" s="92">
        <v>7</v>
      </c>
      <c r="AS612" s="92">
        <v>2</v>
      </c>
      <c r="AT612" s="92">
        <v>3</v>
      </c>
      <c r="AU612" s="92">
        <v>6</v>
      </c>
      <c r="AV612" s="65" t="s">
        <v>828</v>
      </c>
      <c r="AW612" s="1" t="s">
        <v>37</v>
      </c>
      <c r="AX612" s="1" t="s">
        <v>37</v>
      </c>
    </row>
    <row r="613" spans="40:50" x14ac:dyDescent="0.25">
      <c r="AN613" s="1" t="s">
        <v>670</v>
      </c>
      <c r="AO613" s="5" t="s">
        <v>377</v>
      </c>
      <c r="AP613" s="1">
        <v>1</v>
      </c>
      <c r="AQ613" s="2">
        <v>150000</v>
      </c>
      <c r="AR613" s="1">
        <v>7</v>
      </c>
      <c r="AS613" s="1">
        <v>3</v>
      </c>
      <c r="AT613" s="1">
        <v>4</v>
      </c>
      <c r="AU613" s="1">
        <v>7</v>
      </c>
      <c r="AV613" s="5" t="s">
        <v>573</v>
      </c>
      <c r="AW613" s="1" t="s">
        <v>37</v>
      </c>
      <c r="AX613" s="1" t="s">
        <v>37</v>
      </c>
    </row>
    <row r="614" spans="40:50" x14ac:dyDescent="0.25">
      <c r="AN614" s="1" t="s">
        <v>670</v>
      </c>
      <c r="AO614" s="5" t="s">
        <v>382</v>
      </c>
      <c r="AP614" s="1">
        <v>1</v>
      </c>
      <c r="AQ614" s="2">
        <v>150000</v>
      </c>
      <c r="AR614" s="1">
        <v>5</v>
      </c>
      <c r="AS614" s="1">
        <v>4</v>
      </c>
      <c r="AT614" s="1">
        <v>3</v>
      </c>
      <c r="AU614" s="1">
        <v>8</v>
      </c>
      <c r="AV614" s="5" t="s">
        <v>506</v>
      </c>
      <c r="AW614" s="1" t="s">
        <v>37</v>
      </c>
      <c r="AX614" s="1" t="s">
        <v>37</v>
      </c>
    </row>
    <row r="615" spans="40:50" x14ac:dyDescent="0.25">
      <c r="AN615" s="1" t="s">
        <v>670</v>
      </c>
      <c r="AO615" s="99" t="s">
        <v>824</v>
      </c>
      <c r="AP615" s="92">
        <v>1</v>
      </c>
      <c r="AQ615" s="100">
        <v>160000</v>
      </c>
      <c r="AR615" s="92">
        <v>7</v>
      </c>
      <c r="AS615" s="92">
        <v>2</v>
      </c>
      <c r="AT615" s="92">
        <v>4</v>
      </c>
      <c r="AU615" s="92">
        <v>7</v>
      </c>
      <c r="AV615" s="99" t="s">
        <v>825</v>
      </c>
      <c r="AW615" s="1" t="s">
        <v>37</v>
      </c>
      <c r="AX615" s="1" t="s">
        <v>37</v>
      </c>
    </row>
    <row r="616" spans="40:50" x14ac:dyDescent="0.25">
      <c r="AN616" s="1" t="s">
        <v>670</v>
      </c>
      <c r="AO616" s="5" t="s">
        <v>373</v>
      </c>
      <c r="AP616" s="1">
        <v>1</v>
      </c>
      <c r="AQ616" s="2">
        <v>200000</v>
      </c>
      <c r="AR616" s="1">
        <v>8</v>
      </c>
      <c r="AS616" s="1">
        <v>3</v>
      </c>
      <c r="AT616" s="1">
        <v>4</v>
      </c>
      <c r="AU616" s="1">
        <v>7</v>
      </c>
      <c r="AV616" s="5" t="s">
        <v>495</v>
      </c>
      <c r="AW616" s="1" t="s">
        <v>37</v>
      </c>
      <c r="AX616" s="1" t="s">
        <v>37</v>
      </c>
    </row>
    <row r="617" spans="40:50" x14ac:dyDescent="0.25">
      <c r="AN617" s="1" t="s">
        <v>670</v>
      </c>
      <c r="AO617" s="99" t="s">
        <v>839</v>
      </c>
      <c r="AP617" s="92">
        <v>1</v>
      </c>
      <c r="AQ617" s="100">
        <v>240000</v>
      </c>
      <c r="AR617" s="92">
        <v>7</v>
      </c>
      <c r="AS617" s="92">
        <v>3</v>
      </c>
      <c r="AT617" s="92">
        <v>4</v>
      </c>
      <c r="AU617" s="92">
        <v>7</v>
      </c>
      <c r="AV617" s="99" t="s">
        <v>840</v>
      </c>
      <c r="AW617" s="1" t="s">
        <v>37</v>
      </c>
      <c r="AX617" s="1" t="s">
        <v>37</v>
      </c>
    </row>
    <row r="618" spans="40:50" x14ac:dyDescent="0.25">
      <c r="AN618" s="1" t="s">
        <v>670</v>
      </c>
      <c r="AO618" s="5" t="s">
        <v>402</v>
      </c>
      <c r="AP618" s="1">
        <v>1</v>
      </c>
      <c r="AQ618" s="2">
        <v>260000</v>
      </c>
      <c r="AR618" s="1">
        <v>8</v>
      </c>
      <c r="AS618" s="1">
        <v>3</v>
      </c>
      <c r="AT618" s="1">
        <v>5</v>
      </c>
      <c r="AU618" s="1">
        <v>7</v>
      </c>
      <c r="AV618" s="5" t="s">
        <v>523</v>
      </c>
      <c r="AW618" s="1" t="s">
        <v>37</v>
      </c>
      <c r="AX618" s="1" t="s">
        <v>37</v>
      </c>
    </row>
    <row r="619" spans="40:50" x14ac:dyDescent="0.25">
      <c r="AN619" s="1" t="s">
        <v>670</v>
      </c>
      <c r="AO619" s="5" t="s">
        <v>376</v>
      </c>
      <c r="AP619" s="1">
        <v>1</v>
      </c>
      <c r="AQ619" s="2">
        <v>270000</v>
      </c>
      <c r="AR619" s="1">
        <v>6</v>
      </c>
      <c r="AS619" s="1">
        <v>4</v>
      </c>
      <c r="AT619" s="1">
        <v>3</v>
      </c>
      <c r="AU619" s="1">
        <v>8</v>
      </c>
      <c r="AV619" s="5" t="s">
        <v>502</v>
      </c>
      <c r="AW619" s="1" t="s">
        <v>37</v>
      </c>
      <c r="AX619" s="1" t="s">
        <v>37</v>
      </c>
    </row>
    <row r="620" spans="40:50" x14ac:dyDescent="0.25">
      <c r="AN620" s="1" t="s">
        <v>670</v>
      </c>
      <c r="AO620" s="99" t="s">
        <v>836</v>
      </c>
      <c r="AP620" s="92">
        <v>1</v>
      </c>
      <c r="AQ620" s="100">
        <v>280000</v>
      </c>
      <c r="AR620" s="92">
        <v>5</v>
      </c>
      <c r="AS620" s="92">
        <v>5</v>
      </c>
      <c r="AT620" s="92">
        <v>2</v>
      </c>
      <c r="AU620" s="92">
        <v>9</v>
      </c>
      <c r="AV620" s="99" t="s">
        <v>837</v>
      </c>
      <c r="AW620" s="1" t="s">
        <v>37</v>
      </c>
      <c r="AX620" s="1" t="s">
        <v>37</v>
      </c>
    </row>
    <row r="621" spans="40:50" x14ac:dyDescent="0.25">
      <c r="AN621" s="1" t="s">
        <v>670</v>
      </c>
      <c r="AO621" s="99" t="s">
        <v>832</v>
      </c>
      <c r="AP621" s="92">
        <v>1</v>
      </c>
      <c r="AQ621" s="100">
        <v>300000</v>
      </c>
      <c r="AR621" s="92">
        <v>3</v>
      </c>
      <c r="AS621" s="92">
        <v>5</v>
      </c>
      <c r="AT621" s="92">
        <v>1</v>
      </c>
      <c r="AU621" s="92">
        <v>10</v>
      </c>
      <c r="AV621" s="99" t="s">
        <v>833</v>
      </c>
      <c r="AW621" s="1" t="s">
        <v>37</v>
      </c>
      <c r="AX621" s="1" t="s">
        <v>37</v>
      </c>
    </row>
    <row r="622" spans="40:50" x14ac:dyDescent="0.25">
      <c r="AN622" s="1" t="s">
        <v>670</v>
      </c>
      <c r="AO622" s="99" t="s">
        <v>867</v>
      </c>
      <c r="AP622" s="92">
        <v>1</v>
      </c>
      <c r="AQ622" s="100">
        <v>380000</v>
      </c>
      <c r="AR622" s="92">
        <v>5</v>
      </c>
      <c r="AS622" s="92">
        <v>6</v>
      </c>
      <c r="AT622" s="92">
        <v>2</v>
      </c>
      <c r="AU622" s="92">
        <v>10</v>
      </c>
      <c r="AV622" s="99" t="s">
        <v>865</v>
      </c>
      <c r="AW622" s="1" t="s">
        <v>37</v>
      </c>
      <c r="AX622" s="1" t="s">
        <v>37</v>
      </c>
    </row>
    <row r="623" spans="40:50" x14ac:dyDescent="0.25">
      <c r="AN623" s="1" t="s">
        <v>670</v>
      </c>
      <c r="AO623" s="5" t="s">
        <v>841</v>
      </c>
      <c r="AP623" s="1">
        <v>1</v>
      </c>
      <c r="AQ623" s="2">
        <v>390000</v>
      </c>
      <c r="AR623" s="1">
        <v>7</v>
      </c>
      <c r="AS623" s="1">
        <v>3</v>
      </c>
      <c r="AT623" s="1">
        <v>4</v>
      </c>
      <c r="AU623" s="1">
        <v>8</v>
      </c>
      <c r="AV623" s="5" t="s">
        <v>503</v>
      </c>
      <c r="AW623" s="1" t="s">
        <v>37</v>
      </c>
      <c r="AX623" s="1" t="s">
        <v>37</v>
      </c>
    </row>
    <row r="624" spans="40:50" x14ac:dyDescent="0.25">
      <c r="AN624" s="1" t="s">
        <v>670</v>
      </c>
      <c r="AO624" s="5" t="s">
        <v>842</v>
      </c>
      <c r="AP624" s="1">
        <v>1</v>
      </c>
      <c r="AQ624" s="1" t="s">
        <v>37</v>
      </c>
      <c r="AR624" s="1">
        <v>7</v>
      </c>
      <c r="AS624" s="1">
        <v>3</v>
      </c>
      <c r="AT624" s="1">
        <v>5</v>
      </c>
      <c r="AU624" s="1">
        <v>7</v>
      </c>
      <c r="AV624" s="5" t="s">
        <v>505</v>
      </c>
      <c r="AW624" s="1" t="s">
        <v>37</v>
      </c>
      <c r="AX624" s="1" t="s">
        <v>37</v>
      </c>
    </row>
    <row r="625" spans="40:50" x14ac:dyDescent="0.25">
      <c r="AN625" s="1" t="s">
        <v>670</v>
      </c>
      <c r="AO625" s="99" t="s">
        <v>879</v>
      </c>
      <c r="AP625" s="92">
        <v>16</v>
      </c>
      <c r="AQ625" s="100">
        <v>400000</v>
      </c>
      <c r="AR625" s="92">
        <v>6</v>
      </c>
      <c r="AS625" s="92">
        <v>7</v>
      </c>
      <c r="AT625" s="92">
        <v>2</v>
      </c>
      <c r="AU625" s="92">
        <v>10</v>
      </c>
      <c r="AV625" s="99" t="s">
        <v>880</v>
      </c>
      <c r="AW625" s="1" t="s">
        <v>37</v>
      </c>
      <c r="AX625" s="1" t="s">
        <v>37</v>
      </c>
    </row>
    <row r="626" spans="40:50" x14ac:dyDescent="0.25">
      <c r="AN626" s="1" t="s">
        <v>670</v>
      </c>
      <c r="AO626" s="5" t="s">
        <v>35</v>
      </c>
      <c r="AP626" s="1">
        <v>1</v>
      </c>
      <c r="AQ626" s="2">
        <v>430000</v>
      </c>
      <c r="AR626" s="1">
        <v>6</v>
      </c>
      <c r="AS626" s="1">
        <v>6</v>
      </c>
      <c r="AT626" s="1">
        <v>3</v>
      </c>
      <c r="AU626" s="1">
        <v>10</v>
      </c>
      <c r="AV626" s="5" t="s">
        <v>513</v>
      </c>
      <c r="AW626" s="1" t="s">
        <v>37</v>
      </c>
      <c r="AX626" s="1" t="s">
        <v>37</v>
      </c>
    </row>
    <row r="627" spans="40:50" x14ac:dyDescent="0.25">
      <c r="AN627" s="1" t="s">
        <v>362</v>
      </c>
      <c r="AO627" s="5"/>
      <c r="AP627" s="1"/>
      <c r="AQ627" s="2"/>
      <c r="AR627" s="1"/>
      <c r="AS627" s="1"/>
      <c r="AT627" s="1"/>
      <c r="AU627" s="1"/>
      <c r="AV627"/>
      <c r="AW627" s="1"/>
      <c r="AX627" s="1"/>
    </row>
    <row r="628" spans="40:50" x14ac:dyDescent="0.25">
      <c r="AN628" s="1" t="s">
        <v>362</v>
      </c>
      <c r="AO628" s="5" t="s">
        <v>405</v>
      </c>
      <c r="AP628" s="1">
        <v>16</v>
      </c>
      <c r="AQ628" s="2">
        <v>70000</v>
      </c>
      <c r="AR628" s="1">
        <v>4</v>
      </c>
      <c r="AS628" s="1">
        <v>3</v>
      </c>
      <c r="AT628" s="1">
        <v>2</v>
      </c>
      <c r="AU628" s="1">
        <v>9</v>
      </c>
      <c r="AV628" t="s">
        <v>507</v>
      </c>
      <c r="AW628" s="1" t="s">
        <v>638</v>
      </c>
      <c r="AX628" s="1" t="s">
        <v>29</v>
      </c>
    </row>
    <row r="629" spans="40:50" x14ac:dyDescent="0.25">
      <c r="AN629" s="1" t="s">
        <v>362</v>
      </c>
      <c r="AO629" s="5" t="s">
        <v>398</v>
      </c>
      <c r="AP629" s="1">
        <v>2</v>
      </c>
      <c r="AQ629" s="2">
        <v>80000</v>
      </c>
      <c r="AR629" s="1">
        <v>6</v>
      </c>
      <c r="AS629" s="1">
        <v>3</v>
      </c>
      <c r="AT629" s="1">
        <v>3</v>
      </c>
      <c r="AU629" s="1">
        <v>8</v>
      </c>
      <c r="AV629" t="s">
        <v>508</v>
      </c>
      <c r="AW629" s="1" t="s">
        <v>23</v>
      </c>
      <c r="AX629" s="1" t="s">
        <v>636</v>
      </c>
    </row>
    <row r="630" spans="40:50" x14ac:dyDescent="0.25">
      <c r="AN630" s="1" t="s">
        <v>362</v>
      </c>
      <c r="AO630" s="5" t="s">
        <v>5</v>
      </c>
      <c r="AP630" s="1">
        <v>2</v>
      </c>
      <c r="AQ630" s="2">
        <v>80000</v>
      </c>
      <c r="AR630" s="1">
        <v>5</v>
      </c>
      <c r="AS630" s="1">
        <v>3</v>
      </c>
      <c r="AT630" s="1">
        <v>3</v>
      </c>
      <c r="AU630" s="1">
        <v>9</v>
      </c>
      <c r="AV630" t="s">
        <v>509</v>
      </c>
      <c r="AW630" s="1" t="s">
        <v>638</v>
      </c>
      <c r="AX630" s="1" t="s">
        <v>29</v>
      </c>
    </row>
    <row r="631" spans="40:50" x14ac:dyDescent="0.25">
      <c r="AN631" s="1" t="s">
        <v>362</v>
      </c>
      <c r="AO631" s="5" t="s">
        <v>407</v>
      </c>
      <c r="AP631" s="1">
        <v>2</v>
      </c>
      <c r="AQ631" s="2">
        <v>90000</v>
      </c>
      <c r="AR631" s="1">
        <v>5</v>
      </c>
      <c r="AS631" s="1">
        <v>3</v>
      </c>
      <c r="AT631" s="1">
        <v>2</v>
      </c>
      <c r="AU631" s="1">
        <v>8</v>
      </c>
      <c r="AV631" t="s">
        <v>520</v>
      </c>
      <c r="AW631" s="1" t="s">
        <v>638</v>
      </c>
      <c r="AX631" s="1" t="s">
        <v>29</v>
      </c>
    </row>
    <row r="632" spans="40:50" x14ac:dyDescent="0.25">
      <c r="AN632" s="1" t="s">
        <v>362</v>
      </c>
      <c r="AO632" s="5" t="s">
        <v>406</v>
      </c>
      <c r="AP632" s="1">
        <v>1</v>
      </c>
      <c r="AQ632" s="2">
        <v>160000</v>
      </c>
      <c r="AR632" s="1">
        <v>4</v>
      </c>
      <c r="AS632" s="1">
        <v>7</v>
      </c>
      <c r="AT632" s="1">
        <v>1</v>
      </c>
      <c r="AU632" s="1">
        <v>10</v>
      </c>
      <c r="AV632" t="s">
        <v>572</v>
      </c>
      <c r="AW632" s="1" t="s">
        <v>635</v>
      </c>
      <c r="AX632" s="1" t="s">
        <v>45</v>
      </c>
    </row>
    <row r="633" spans="40:50" x14ac:dyDescent="0.25">
      <c r="AN633" s="1" t="s">
        <v>362</v>
      </c>
      <c r="AO633" s="5" t="s">
        <v>380</v>
      </c>
      <c r="AP633" s="1">
        <v>11</v>
      </c>
      <c r="AQ633" s="2">
        <v>70000</v>
      </c>
      <c r="AR633" s="1">
        <v>4</v>
      </c>
      <c r="AS633" s="1">
        <v>3</v>
      </c>
      <c r="AT633" s="1">
        <v>2</v>
      </c>
      <c r="AU633" s="1">
        <v>9</v>
      </c>
      <c r="AV633" t="s">
        <v>510</v>
      </c>
      <c r="AW633" s="1" t="s">
        <v>638</v>
      </c>
      <c r="AX633" s="1" t="s">
        <v>29</v>
      </c>
    </row>
    <row r="634" spans="40:50" x14ac:dyDescent="0.25">
      <c r="AN634" s="1" t="s">
        <v>362</v>
      </c>
      <c r="AO634" s="5" t="s">
        <v>408</v>
      </c>
      <c r="AP634" s="1">
        <v>1</v>
      </c>
      <c r="AQ634" s="2">
        <v>60000</v>
      </c>
      <c r="AR634" s="1">
        <v>6</v>
      </c>
      <c r="AS634" s="1">
        <v>3</v>
      </c>
      <c r="AT634" s="1">
        <v>3</v>
      </c>
      <c r="AU634" s="1">
        <v>8</v>
      </c>
      <c r="AV634" s="5" t="s">
        <v>574</v>
      </c>
      <c r="AW634" s="1" t="s">
        <v>37</v>
      </c>
      <c r="AX634" s="1" t="s">
        <v>37</v>
      </c>
    </row>
    <row r="635" spans="40:50" x14ac:dyDescent="0.25">
      <c r="AN635" s="1" t="s">
        <v>362</v>
      </c>
      <c r="AO635" s="5" t="s">
        <v>93</v>
      </c>
      <c r="AP635" s="1">
        <v>1</v>
      </c>
      <c r="AQ635" s="2">
        <v>60000</v>
      </c>
      <c r="AR635" s="1">
        <v>4</v>
      </c>
      <c r="AS635" s="1">
        <v>3</v>
      </c>
      <c r="AT635" s="1">
        <v>2</v>
      </c>
      <c r="AU635" s="1">
        <v>9</v>
      </c>
      <c r="AV635" s="5" t="s">
        <v>575</v>
      </c>
      <c r="AW635" s="1" t="s">
        <v>37</v>
      </c>
      <c r="AX635" s="1" t="s">
        <v>37</v>
      </c>
    </row>
    <row r="636" spans="40:50" x14ac:dyDescent="0.25">
      <c r="AN636" s="1" t="s">
        <v>362</v>
      </c>
      <c r="AO636" s="5" t="s">
        <v>409</v>
      </c>
      <c r="AP636" s="1">
        <v>1</v>
      </c>
      <c r="AQ636" s="2">
        <v>130000</v>
      </c>
      <c r="AR636" s="1">
        <v>5</v>
      </c>
      <c r="AS636" s="1">
        <v>3</v>
      </c>
      <c r="AT636" s="1">
        <v>2</v>
      </c>
      <c r="AU636" s="1">
        <v>8</v>
      </c>
      <c r="AV636" s="5" t="s">
        <v>515</v>
      </c>
      <c r="AW636" s="1" t="s">
        <v>37</v>
      </c>
      <c r="AX636" s="1" t="s">
        <v>37</v>
      </c>
    </row>
    <row r="637" spans="40:50" x14ac:dyDescent="0.25">
      <c r="AN637" s="1" t="s">
        <v>362</v>
      </c>
      <c r="AO637" s="5" t="s">
        <v>410</v>
      </c>
      <c r="AP637" s="1">
        <v>1</v>
      </c>
      <c r="AQ637" s="2">
        <v>220000</v>
      </c>
      <c r="AR637" s="1">
        <v>5</v>
      </c>
      <c r="AS637" s="1">
        <v>4</v>
      </c>
      <c r="AT637" s="1">
        <v>3</v>
      </c>
      <c r="AU637" s="1">
        <v>8</v>
      </c>
      <c r="AV637" s="5" t="s">
        <v>579</v>
      </c>
      <c r="AW637" s="1" t="s">
        <v>37</v>
      </c>
      <c r="AX637" s="1" t="s">
        <v>37</v>
      </c>
    </row>
    <row r="638" spans="40:50" x14ac:dyDescent="0.25">
      <c r="AN638" s="1" t="s">
        <v>362</v>
      </c>
      <c r="AO638" s="5" t="s">
        <v>376</v>
      </c>
      <c r="AP638" s="1">
        <v>1</v>
      </c>
      <c r="AQ638" s="2">
        <v>270000</v>
      </c>
      <c r="AR638" s="1">
        <v>6</v>
      </c>
      <c r="AS638" s="1">
        <v>4</v>
      </c>
      <c r="AT638" s="1">
        <v>3</v>
      </c>
      <c r="AU638" s="1">
        <v>8</v>
      </c>
      <c r="AV638" s="5" t="s">
        <v>502</v>
      </c>
      <c r="AW638" s="1" t="s">
        <v>37</v>
      </c>
      <c r="AX638" s="1" t="s">
        <v>37</v>
      </c>
    </row>
    <row r="639" spans="40:50" x14ac:dyDescent="0.25">
      <c r="AN639" s="1" t="s">
        <v>362</v>
      </c>
      <c r="AO639" s="99" t="s">
        <v>867</v>
      </c>
      <c r="AP639" s="92">
        <v>1</v>
      </c>
      <c r="AQ639" s="100">
        <v>380000</v>
      </c>
      <c r="AR639" s="92">
        <v>5</v>
      </c>
      <c r="AS639" s="92">
        <v>6</v>
      </c>
      <c r="AT639" s="92">
        <v>2</v>
      </c>
      <c r="AU639" s="92">
        <v>10</v>
      </c>
      <c r="AV639" s="99" t="s">
        <v>865</v>
      </c>
      <c r="AW639" s="1" t="s">
        <v>37</v>
      </c>
      <c r="AX639" s="1" t="s">
        <v>37</v>
      </c>
    </row>
    <row r="640" spans="40:50" x14ac:dyDescent="0.25">
      <c r="AN640" s="1" t="s">
        <v>362</v>
      </c>
      <c r="AO640" s="99" t="s">
        <v>879</v>
      </c>
      <c r="AP640" s="92">
        <v>16</v>
      </c>
      <c r="AQ640" s="100">
        <v>400000</v>
      </c>
      <c r="AR640" s="92">
        <v>6</v>
      </c>
      <c r="AS640" s="92">
        <v>7</v>
      </c>
      <c r="AT640" s="92">
        <v>2</v>
      </c>
      <c r="AU640" s="92">
        <v>10</v>
      </c>
      <c r="AV640" s="99" t="s">
        <v>880</v>
      </c>
      <c r="AW640" s="1" t="s">
        <v>37</v>
      </c>
      <c r="AX640" s="1" t="s">
        <v>37</v>
      </c>
    </row>
    <row r="641" spans="40:50" x14ac:dyDescent="0.25">
      <c r="AN641" s="1" t="s">
        <v>362</v>
      </c>
      <c r="AO641" s="5" t="s">
        <v>35</v>
      </c>
      <c r="AP641" s="1">
        <v>1</v>
      </c>
      <c r="AQ641" s="2">
        <v>430000</v>
      </c>
      <c r="AR641" s="1">
        <v>6</v>
      </c>
      <c r="AS641" s="1">
        <v>6</v>
      </c>
      <c r="AT641" s="1">
        <v>3</v>
      </c>
      <c r="AU641" s="1">
        <v>10</v>
      </c>
      <c r="AV641" s="5" t="s">
        <v>513</v>
      </c>
      <c r="AW641" s="1" t="s">
        <v>37</v>
      </c>
      <c r="AX641" s="1" t="s">
        <v>37</v>
      </c>
    </row>
    <row r="642" spans="40:50" x14ac:dyDescent="0.25">
      <c r="AN642" s="1" t="s">
        <v>671</v>
      </c>
      <c r="AO642" s="5"/>
      <c r="AP642" s="1"/>
      <c r="AQ642"/>
      <c r="AR642" s="1"/>
      <c r="AS642" s="1"/>
      <c r="AT642" s="1"/>
      <c r="AU642" s="1"/>
      <c r="AV642"/>
      <c r="AW642" s="1"/>
      <c r="AX642" s="1"/>
    </row>
    <row r="643" spans="40:50" x14ac:dyDescent="0.25">
      <c r="AN643" s="1" t="s">
        <v>671</v>
      </c>
      <c r="AO643" s="5" t="s">
        <v>55</v>
      </c>
      <c r="AP643" s="1">
        <v>16</v>
      </c>
      <c r="AQ643" s="2">
        <v>40000</v>
      </c>
      <c r="AR643" s="1">
        <v>6</v>
      </c>
      <c r="AS643" s="1">
        <v>3</v>
      </c>
      <c r="AT643" s="1">
        <v>3</v>
      </c>
      <c r="AU643" s="1">
        <v>7</v>
      </c>
      <c r="AV643" t="s">
        <v>647</v>
      </c>
      <c r="AW643" s="1" t="s">
        <v>22</v>
      </c>
      <c r="AX643" s="1" t="s">
        <v>636</v>
      </c>
    </row>
    <row r="644" spans="40:50" x14ac:dyDescent="0.25">
      <c r="AN644" s="1" t="s">
        <v>671</v>
      </c>
      <c r="AO644" s="5" t="s">
        <v>405</v>
      </c>
      <c r="AP644" s="1">
        <v>6</v>
      </c>
      <c r="AQ644" s="2">
        <v>70000</v>
      </c>
      <c r="AR644" s="1">
        <v>4</v>
      </c>
      <c r="AS644" s="1">
        <v>3</v>
      </c>
      <c r="AT644" s="1">
        <v>2</v>
      </c>
      <c r="AU644" s="1">
        <v>9</v>
      </c>
      <c r="AV644" t="s">
        <v>507</v>
      </c>
      <c r="AW644" s="1" t="s">
        <v>638</v>
      </c>
      <c r="AX644" s="1" t="s">
        <v>59</v>
      </c>
    </row>
    <row r="645" spans="40:50" x14ac:dyDescent="0.25">
      <c r="AN645" s="1" t="s">
        <v>671</v>
      </c>
      <c r="AO645" s="5" t="s">
        <v>411</v>
      </c>
      <c r="AP645" s="1">
        <v>2</v>
      </c>
      <c r="AQ645" s="2">
        <v>130000</v>
      </c>
      <c r="AR645" s="1">
        <v>6</v>
      </c>
      <c r="AS645" s="1">
        <v>4</v>
      </c>
      <c r="AT645" s="1">
        <v>2</v>
      </c>
      <c r="AU645" s="1">
        <v>9</v>
      </c>
      <c r="AV645" t="s">
        <v>511</v>
      </c>
      <c r="AW645" s="1" t="s">
        <v>638</v>
      </c>
      <c r="AX645" s="1" t="s">
        <v>29</v>
      </c>
    </row>
    <row r="646" spans="40:50" x14ac:dyDescent="0.25">
      <c r="AN646" s="1" t="s">
        <v>671</v>
      </c>
      <c r="AO646" s="5" t="s">
        <v>389</v>
      </c>
      <c r="AP646" s="1">
        <v>1</v>
      </c>
      <c r="AQ646" s="2">
        <v>150000</v>
      </c>
      <c r="AR646" s="1">
        <v>5</v>
      </c>
      <c r="AS646" s="1">
        <v>5</v>
      </c>
      <c r="AT646" s="1">
        <v>2</v>
      </c>
      <c r="AU646" s="1">
        <v>8</v>
      </c>
      <c r="AV646" t="s">
        <v>536</v>
      </c>
      <c r="AW646" s="1" t="s">
        <v>635</v>
      </c>
      <c r="AX646" s="1" t="s">
        <v>62</v>
      </c>
    </row>
    <row r="647" spans="40:50" x14ac:dyDescent="0.25">
      <c r="AN647" s="1" t="s">
        <v>671</v>
      </c>
      <c r="AO647" s="5" t="s">
        <v>380</v>
      </c>
      <c r="AP647" s="1">
        <v>11</v>
      </c>
      <c r="AQ647" s="2">
        <v>40000</v>
      </c>
      <c r="AR647" s="1">
        <v>6</v>
      </c>
      <c r="AS647" s="1">
        <v>3</v>
      </c>
      <c r="AT647" s="1">
        <v>3</v>
      </c>
      <c r="AU647" s="1">
        <v>7</v>
      </c>
      <c r="AV647" t="s">
        <v>478</v>
      </c>
      <c r="AW647" s="1" t="s">
        <v>22</v>
      </c>
      <c r="AX647" s="1" t="s">
        <v>636</v>
      </c>
    </row>
    <row r="648" spans="40:50" x14ac:dyDescent="0.25">
      <c r="AN648" s="1" t="s">
        <v>671</v>
      </c>
      <c r="AO648" s="5" t="s">
        <v>412</v>
      </c>
      <c r="AP648" s="1">
        <v>1</v>
      </c>
      <c r="AQ648" s="2">
        <v>90000</v>
      </c>
      <c r="AR648" s="1">
        <v>4</v>
      </c>
      <c r="AS648" s="1">
        <v>4</v>
      </c>
      <c r="AT648" s="1">
        <v>3</v>
      </c>
      <c r="AU648" s="1">
        <v>9</v>
      </c>
      <c r="AV648" s="5" t="s">
        <v>580</v>
      </c>
      <c r="AW648" s="1" t="s">
        <v>37</v>
      </c>
      <c r="AX648" s="1" t="s">
        <v>37</v>
      </c>
    </row>
    <row r="649" spans="40:50" x14ac:dyDescent="0.25">
      <c r="AN649" s="1" t="s">
        <v>671</v>
      </c>
      <c r="AO649" s="5" t="s">
        <v>413</v>
      </c>
      <c r="AP649" s="1">
        <v>1</v>
      </c>
      <c r="AQ649" s="2">
        <v>130000</v>
      </c>
      <c r="AR649" s="1">
        <v>6</v>
      </c>
      <c r="AS649" s="1">
        <v>2</v>
      </c>
      <c r="AT649" s="1">
        <v>3</v>
      </c>
      <c r="AU649" s="1">
        <v>7</v>
      </c>
      <c r="AV649" s="5" t="s">
        <v>538</v>
      </c>
      <c r="AW649" s="1" t="s">
        <v>37</v>
      </c>
      <c r="AX649" s="1" t="s">
        <v>37</v>
      </c>
    </row>
    <row r="650" spans="40:50" x14ac:dyDescent="0.25">
      <c r="AN650" s="1" t="s">
        <v>671</v>
      </c>
      <c r="AO650" s="5" t="s">
        <v>414</v>
      </c>
      <c r="AP650" s="1">
        <v>1</v>
      </c>
      <c r="AQ650" s="2">
        <v>200000</v>
      </c>
      <c r="AR650" s="1">
        <v>7</v>
      </c>
      <c r="AS650" s="1">
        <v>3</v>
      </c>
      <c r="AT650" s="1">
        <v>3</v>
      </c>
      <c r="AU650" s="1">
        <v>7</v>
      </c>
      <c r="AV650" s="5" t="s">
        <v>582</v>
      </c>
      <c r="AW650" s="1" t="s">
        <v>37</v>
      </c>
      <c r="AX650" s="1" t="s">
        <v>37</v>
      </c>
    </row>
    <row r="651" spans="40:50" x14ac:dyDescent="0.25">
      <c r="AN651" s="1" t="s">
        <v>671</v>
      </c>
      <c r="AO651" s="5" t="s">
        <v>393</v>
      </c>
      <c r="AP651" s="1">
        <v>1</v>
      </c>
      <c r="AQ651" s="2">
        <v>310000</v>
      </c>
      <c r="AR651" s="1">
        <v>6</v>
      </c>
      <c r="AS651" s="1">
        <v>6</v>
      </c>
      <c r="AT651" s="1">
        <v>2</v>
      </c>
      <c r="AU651" s="1">
        <v>8</v>
      </c>
      <c r="AV651" s="5" t="s">
        <v>534</v>
      </c>
      <c r="AW651" s="1" t="s">
        <v>37</v>
      </c>
      <c r="AX651" s="1" t="s">
        <v>37</v>
      </c>
    </row>
    <row r="652" spans="40:50" x14ac:dyDescent="0.25">
      <c r="AN652" s="1" t="s">
        <v>671</v>
      </c>
      <c r="AO652" s="5" t="s">
        <v>415</v>
      </c>
      <c r="AP652" s="1">
        <v>1</v>
      </c>
      <c r="AQ652" s="2">
        <v>330000</v>
      </c>
      <c r="AR652" s="1">
        <v>6</v>
      </c>
      <c r="AS652" s="1">
        <v>5</v>
      </c>
      <c r="AT652" s="1">
        <v>2</v>
      </c>
      <c r="AU652" s="1">
        <v>9</v>
      </c>
      <c r="AV652" s="5" t="s">
        <v>529</v>
      </c>
      <c r="AW652" s="1" t="s">
        <v>37</v>
      </c>
      <c r="AX652" s="1" t="s">
        <v>37</v>
      </c>
    </row>
    <row r="653" spans="40:50" x14ac:dyDescent="0.25">
      <c r="AN653" s="1" t="s">
        <v>671</v>
      </c>
      <c r="AO653" s="99" t="s">
        <v>867</v>
      </c>
      <c r="AP653" s="92">
        <v>1</v>
      </c>
      <c r="AQ653" s="100">
        <v>380000</v>
      </c>
      <c r="AR653" s="92">
        <v>5</v>
      </c>
      <c r="AS653" s="92">
        <v>6</v>
      </c>
      <c r="AT653" s="92">
        <v>2</v>
      </c>
      <c r="AU653" s="92">
        <v>10</v>
      </c>
      <c r="AV653" s="99" t="s">
        <v>865</v>
      </c>
      <c r="AW653" s="1" t="s">
        <v>37</v>
      </c>
      <c r="AX653" s="1" t="s">
        <v>37</v>
      </c>
    </row>
    <row r="654" spans="40:50" x14ac:dyDescent="0.25">
      <c r="AN654" s="1" t="s">
        <v>671</v>
      </c>
      <c r="AO654" s="99" t="s">
        <v>879</v>
      </c>
      <c r="AP654" s="92">
        <v>16</v>
      </c>
      <c r="AQ654" s="100">
        <v>400000</v>
      </c>
      <c r="AR654" s="92">
        <v>6</v>
      </c>
      <c r="AS654" s="92">
        <v>7</v>
      </c>
      <c r="AT654" s="92">
        <v>2</v>
      </c>
      <c r="AU654" s="92">
        <v>10</v>
      </c>
      <c r="AV654" s="99" t="s">
        <v>880</v>
      </c>
      <c r="AW654" s="1" t="s">
        <v>37</v>
      </c>
      <c r="AX654" s="1" t="s">
        <v>37</v>
      </c>
    </row>
    <row r="655" spans="40:50" x14ac:dyDescent="0.25">
      <c r="AN655" s="1" t="s">
        <v>671</v>
      </c>
      <c r="AO655" s="5" t="s">
        <v>35</v>
      </c>
      <c r="AP655" s="1">
        <v>1</v>
      </c>
      <c r="AQ655" s="2">
        <v>430000</v>
      </c>
      <c r="AR655" s="1">
        <v>6</v>
      </c>
      <c r="AS655" s="1">
        <v>6</v>
      </c>
      <c r="AT655" s="1">
        <v>3</v>
      </c>
      <c r="AU655" s="1">
        <v>10</v>
      </c>
      <c r="AV655" s="5" t="s">
        <v>513</v>
      </c>
      <c r="AW655" s="1" t="s">
        <v>37</v>
      </c>
      <c r="AX655" s="1" t="s">
        <v>37</v>
      </c>
    </row>
    <row r="656" spans="40:50" x14ac:dyDescent="0.25">
      <c r="AN656" s="1" t="s">
        <v>201</v>
      </c>
      <c r="AO656" s="5"/>
      <c r="AP656" s="1"/>
      <c r="AQ656" s="2"/>
      <c r="AR656" s="1"/>
      <c r="AS656" s="1"/>
      <c r="AT656" s="1"/>
      <c r="AU656" s="1"/>
      <c r="AV656"/>
      <c r="AW656" s="1"/>
      <c r="AX656" s="1"/>
    </row>
    <row r="657" spans="40:50" x14ac:dyDescent="0.25">
      <c r="AN657" s="1" t="s">
        <v>201</v>
      </c>
      <c r="AO657" s="5" t="s">
        <v>178</v>
      </c>
      <c r="AP657" s="1">
        <v>16</v>
      </c>
      <c r="AQ657" s="2">
        <v>40000</v>
      </c>
      <c r="AR657" s="1">
        <v>6</v>
      </c>
      <c r="AS657" s="1">
        <v>2</v>
      </c>
      <c r="AT657" s="1">
        <v>3</v>
      </c>
      <c r="AU657" s="1">
        <v>7</v>
      </c>
      <c r="AV657" t="s">
        <v>539</v>
      </c>
      <c r="AW657" s="1" t="s">
        <v>85</v>
      </c>
      <c r="AX657" s="1" t="s">
        <v>642</v>
      </c>
    </row>
    <row r="658" spans="40:50" x14ac:dyDescent="0.25">
      <c r="AN658" s="1" t="s">
        <v>201</v>
      </c>
      <c r="AO658" s="5" t="s">
        <v>416</v>
      </c>
      <c r="AP658" s="1">
        <v>1</v>
      </c>
      <c r="AQ658" s="2">
        <v>40000</v>
      </c>
      <c r="AR658" s="1">
        <v>6</v>
      </c>
      <c r="AS658" s="1">
        <v>2</v>
      </c>
      <c r="AT658" s="1">
        <v>3</v>
      </c>
      <c r="AU658" s="1">
        <v>7</v>
      </c>
      <c r="AV658" t="s">
        <v>576</v>
      </c>
      <c r="AW658" s="1" t="s">
        <v>85</v>
      </c>
      <c r="AX658" s="1" t="s">
        <v>642</v>
      </c>
    </row>
    <row r="659" spans="40:50" x14ac:dyDescent="0.25">
      <c r="AN659" s="1" t="s">
        <v>201</v>
      </c>
      <c r="AO659" s="5" t="s">
        <v>417</v>
      </c>
      <c r="AP659" s="1">
        <v>1</v>
      </c>
      <c r="AQ659" s="2">
        <v>40000</v>
      </c>
      <c r="AR659" s="1">
        <v>6</v>
      </c>
      <c r="AS659" s="1">
        <v>2</v>
      </c>
      <c r="AT659" s="1">
        <v>3</v>
      </c>
      <c r="AU659" s="1">
        <v>7</v>
      </c>
      <c r="AV659" t="s">
        <v>631</v>
      </c>
      <c r="AW659" s="1" t="s">
        <v>85</v>
      </c>
      <c r="AX659" s="1" t="s">
        <v>642</v>
      </c>
    </row>
    <row r="660" spans="40:50" x14ac:dyDescent="0.25">
      <c r="AN660" s="1" t="s">
        <v>201</v>
      </c>
      <c r="AO660" s="5" t="s">
        <v>421</v>
      </c>
      <c r="AP660" s="1">
        <v>1</v>
      </c>
      <c r="AQ660" s="2">
        <v>60000</v>
      </c>
      <c r="AR660" s="1">
        <v>6</v>
      </c>
      <c r="AS660" s="1">
        <v>2</v>
      </c>
      <c r="AT660" s="1">
        <v>3</v>
      </c>
      <c r="AU660" s="1">
        <v>7</v>
      </c>
      <c r="AV660" t="s">
        <v>633</v>
      </c>
      <c r="AW660" s="1" t="s">
        <v>85</v>
      </c>
      <c r="AX660" s="1" t="s">
        <v>642</v>
      </c>
    </row>
    <row r="661" spans="40:50" x14ac:dyDescent="0.25">
      <c r="AN661" s="1" t="s">
        <v>201</v>
      </c>
      <c r="AO661" s="5" t="s">
        <v>420</v>
      </c>
      <c r="AP661" s="1">
        <v>1</v>
      </c>
      <c r="AQ661" s="2">
        <v>70000</v>
      </c>
      <c r="AR661" s="1">
        <v>6</v>
      </c>
      <c r="AS661" s="1">
        <v>2</v>
      </c>
      <c r="AT661" s="1">
        <v>3</v>
      </c>
      <c r="AU661" s="1">
        <v>7</v>
      </c>
      <c r="AV661" t="s">
        <v>585</v>
      </c>
      <c r="AW661" s="1" t="s">
        <v>85</v>
      </c>
      <c r="AX661" s="1" t="s">
        <v>642</v>
      </c>
    </row>
    <row r="662" spans="40:50" x14ac:dyDescent="0.25">
      <c r="AN662" s="1" t="s">
        <v>201</v>
      </c>
      <c r="AO662" s="5" t="s">
        <v>418</v>
      </c>
      <c r="AP662" s="1">
        <v>1</v>
      </c>
      <c r="AQ662" s="2">
        <v>70000</v>
      </c>
      <c r="AR662" s="1">
        <v>3</v>
      </c>
      <c r="AS662" s="1">
        <v>7</v>
      </c>
      <c r="AT662" s="1">
        <v>3</v>
      </c>
      <c r="AU662" s="1">
        <v>7</v>
      </c>
      <c r="AV662" t="s">
        <v>595</v>
      </c>
      <c r="AW662" s="1" t="s">
        <v>635</v>
      </c>
      <c r="AX662" s="1" t="s">
        <v>45</v>
      </c>
    </row>
    <row r="663" spans="40:50" x14ac:dyDescent="0.25">
      <c r="AN663" s="1" t="s">
        <v>201</v>
      </c>
      <c r="AO663" s="5" t="s">
        <v>419</v>
      </c>
      <c r="AP663" s="1">
        <v>1</v>
      </c>
      <c r="AQ663" s="2">
        <v>70000</v>
      </c>
      <c r="AR663" s="1">
        <v>7</v>
      </c>
      <c r="AS663" s="1">
        <v>2</v>
      </c>
      <c r="AT663" s="1">
        <v>3</v>
      </c>
      <c r="AU663" s="1">
        <v>7</v>
      </c>
      <c r="AV663" t="s">
        <v>587</v>
      </c>
      <c r="AW663" s="1" t="s">
        <v>85</v>
      </c>
      <c r="AX663" s="1" t="s">
        <v>642</v>
      </c>
    </row>
    <row r="664" spans="40:50" x14ac:dyDescent="0.25">
      <c r="AN664" s="1" t="s">
        <v>201</v>
      </c>
      <c r="AO664" s="5" t="s">
        <v>183</v>
      </c>
      <c r="AP664" s="1">
        <v>2</v>
      </c>
      <c r="AQ664" s="2">
        <v>110000</v>
      </c>
      <c r="AR664" s="1">
        <v>4</v>
      </c>
      <c r="AS664" s="1">
        <v>5</v>
      </c>
      <c r="AT664" s="1">
        <v>1</v>
      </c>
      <c r="AU664" s="1">
        <v>9</v>
      </c>
      <c r="AV664" t="s">
        <v>597</v>
      </c>
      <c r="AW664" s="1" t="s">
        <v>635</v>
      </c>
      <c r="AX664" s="1" t="s">
        <v>45</v>
      </c>
    </row>
    <row r="665" spans="40:50" x14ac:dyDescent="0.25">
      <c r="AN665" s="1" t="s">
        <v>201</v>
      </c>
      <c r="AO665" s="5" t="s">
        <v>380</v>
      </c>
      <c r="AP665" s="1">
        <v>11</v>
      </c>
      <c r="AQ665" s="2">
        <v>40000</v>
      </c>
      <c r="AR665" s="1">
        <v>6</v>
      </c>
      <c r="AS665" s="1">
        <v>2</v>
      </c>
      <c r="AT665" s="1">
        <v>3</v>
      </c>
      <c r="AU665" s="1">
        <v>7</v>
      </c>
      <c r="AV665" t="s">
        <v>540</v>
      </c>
      <c r="AW665" s="1" t="s">
        <v>85</v>
      </c>
      <c r="AX665" s="1" t="s">
        <v>642</v>
      </c>
    </row>
    <row r="666" spans="40:50" x14ac:dyDescent="0.25">
      <c r="AN666" s="1" t="s">
        <v>201</v>
      </c>
      <c r="AO666" s="5" t="s">
        <v>422</v>
      </c>
      <c r="AP666" s="1">
        <v>1</v>
      </c>
      <c r="AQ666" s="2">
        <v>60000</v>
      </c>
      <c r="AR666" s="1">
        <v>6</v>
      </c>
      <c r="AS666" s="1">
        <v>2</v>
      </c>
      <c r="AT666" s="1">
        <v>3</v>
      </c>
      <c r="AU666" s="1">
        <v>7</v>
      </c>
      <c r="AV666" s="5" t="s">
        <v>577</v>
      </c>
      <c r="AW666" s="1" t="s">
        <v>37</v>
      </c>
      <c r="AX666" s="1" t="s">
        <v>37</v>
      </c>
    </row>
    <row r="667" spans="40:50" x14ac:dyDescent="0.25">
      <c r="AN667" s="1" t="s">
        <v>201</v>
      </c>
      <c r="AO667" s="5" t="s">
        <v>423</v>
      </c>
      <c r="AP667" s="1">
        <v>1</v>
      </c>
      <c r="AQ667" s="2">
        <v>80000</v>
      </c>
      <c r="AR667" s="1">
        <v>4</v>
      </c>
      <c r="AS667" s="1">
        <v>7</v>
      </c>
      <c r="AT667" s="1">
        <v>3</v>
      </c>
      <c r="AU667" s="1">
        <v>7</v>
      </c>
      <c r="AV667" s="5" t="s">
        <v>596</v>
      </c>
      <c r="AW667" s="1" t="s">
        <v>37</v>
      </c>
      <c r="AX667" s="1" t="s">
        <v>37</v>
      </c>
    </row>
    <row r="668" spans="40:50" x14ac:dyDescent="0.25">
      <c r="AN668" s="1" t="s">
        <v>201</v>
      </c>
      <c r="AO668" s="5" t="s">
        <v>413</v>
      </c>
      <c r="AP668" s="1">
        <v>1</v>
      </c>
      <c r="AQ668" s="2">
        <v>130000</v>
      </c>
      <c r="AR668" s="1">
        <v>6</v>
      </c>
      <c r="AS668" s="1">
        <v>2</v>
      </c>
      <c r="AT668" s="1">
        <v>3</v>
      </c>
      <c r="AU668" s="1">
        <v>7</v>
      </c>
      <c r="AV668" s="5" t="s">
        <v>538</v>
      </c>
      <c r="AW668" s="1" t="s">
        <v>37</v>
      </c>
      <c r="AX668" s="1" t="s">
        <v>37</v>
      </c>
    </row>
    <row r="669" spans="40:50" x14ac:dyDescent="0.25">
      <c r="AN669" s="1" t="s">
        <v>201</v>
      </c>
      <c r="AO669" s="5" t="s">
        <v>424</v>
      </c>
      <c r="AP669" s="1">
        <v>1</v>
      </c>
      <c r="AQ669" s="2">
        <v>150000</v>
      </c>
      <c r="AR669" s="1">
        <v>7</v>
      </c>
      <c r="AS669" s="1">
        <v>2</v>
      </c>
      <c r="AT669" s="1">
        <v>3</v>
      </c>
      <c r="AU669" s="1">
        <v>7</v>
      </c>
      <c r="AV669" s="5" t="s">
        <v>621</v>
      </c>
      <c r="AW669" s="1" t="s">
        <v>37</v>
      </c>
      <c r="AX669" s="1" t="s">
        <v>37</v>
      </c>
    </row>
    <row r="670" spans="40:50" x14ac:dyDescent="0.25">
      <c r="AN670" s="1" t="s">
        <v>201</v>
      </c>
      <c r="AO670" s="5" t="s">
        <v>425</v>
      </c>
      <c r="AP670" s="1">
        <v>1</v>
      </c>
      <c r="AQ670" s="2">
        <v>170000</v>
      </c>
      <c r="AR670" s="1">
        <v>6</v>
      </c>
      <c r="AS670" s="1">
        <v>4</v>
      </c>
      <c r="AT670" s="1">
        <v>3</v>
      </c>
      <c r="AU670" s="1">
        <v>8</v>
      </c>
      <c r="AV670" s="5" t="s">
        <v>588</v>
      </c>
      <c r="AW670" s="1" t="s">
        <v>37</v>
      </c>
      <c r="AX670" s="1" t="s">
        <v>37</v>
      </c>
    </row>
    <row r="671" spans="40:50" x14ac:dyDescent="0.25">
      <c r="AN671" s="1" t="s">
        <v>201</v>
      </c>
      <c r="AO671" s="5" t="s">
        <v>426</v>
      </c>
      <c r="AP671" s="1">
        <v>1</v>
      </c>
      <c r="AQ671" s="2">
        <v>270000</v>
      </c>
      <c r="AR671" s="1">
        <v>4</v>
      </c>
      <c r="AS671" s="1">
        <v>6</v>
      </c>
      <c r="AT671" s="1">
        <v>1</v>
      </c>
      <c r="AU671" s="1">
        <v>9</v>
      </c>
      <c r="AV671" s="5" t="s">
        <v>604</v>
      </c>
      <c r="AW671" s="1" t="s">
        <v>37</v>
      </c>
      <c r="AX671" s="1" t="s">
        <v>37</v>
      </c>
    </row>
    <row r="672" spans="40:50" x14ac:dyDescent="0.25">
      <c r="AN672" s="1" t="s">
        <v>201</v>
      </c>
      <c r="AO672" s="99" t="s">
        <v>867</v>
      </c>
      <c r="AP672" s="92">
        <v>1</v>
      </c>
      <c r="AQ672" s="100">
        <v>380000</v>
      </c>
      <c r="AR672" s="92">
        <v>5</v>
      </c>
      <c r="AS672" s="92">
        <v>6</v>
      </c>
      <c r="AT672" s="92">
        <v>2</v>
      </c>
      <c r="AU672" s="92">
        <v>10</v>
      </c>
      <c r="AV672" s="99" t="s">
        <v>865</v>
      </c>
      <c r="AW672" s="1" t="s">
        <v>37</v>
      </c>
      <c r="AX672" s="1" t="s">
        <v>37</v>
      </c>
    </row>
    <row r="673" spans="40:50" x14ac:dyDescent="0.25">
      <c r="AN673" s="1" t="s">
        <v>201</v>
      </c>
      <c r="AO673" s="99" t="s">
        <v>879</v>
      </c>
      <c r="AP673" s="92">
        <v>16</v>
      </c>
      <c r="AQ673" s="100">
        <v>400000</v>
      </c>
      <c r="AR673" s="92">
        <v>6</v>
      </c>
      <c r="AS673" s="92">
        <v>7</v>
      </c>
      <c r="AT673" s="92">
        <v>2</v>
      </c>
      <c r="AU673" s="92">
        <v>10</v>
      </c>
      <c r="AV673" s="99" t="s">
        <v>880</v>
      </c>
      <c r="AW673" s="1" t="s">
        <v>37</v>
      </c>
      <c r="AX673" s="1" t="s">
        <v>37</v>
      </c>
    </row>
    <row r="674" spans="40:50" x14ac:dyDescent="0.25">
      <c r="AN674" s="1" t="s">
        <v>201</v>
      </c>
      <c r="AO674" s="5" t="s">
        <v>35</v>
      </c>
      <c r="AP674" s="1">
        <v>1</v>
      </c>
      <c r="AQ674" s="2">
        <v>430000</v>
      </c>
      <c r="AR674" s="1">
        <v>6</v>
      </c>
      <c r="AS674" s="1">
        <v>6</v>
      </c>
      <c r="AT674" s="1">
        <v>3</v>
      </c>
      <c r="AU674" s="1">
        <v>10</v>
      </c>
      <c r="AV674" s="5" t="s">
        <v>513</v>
      </c>
      <c r="AW674" s="1" t="s">
        <v>37</v>
      </c>
      <c r="AX674" s="1" t="s">
        <v>37</v>
      </c>
    </row>
    <row r="675" spans="40:50" x14ac:dyDescent="0.25">
      <c r="AN675" s="1" t="s">
        <v>672</v>
      </c>
      <c r="AO675" s="5"/>
      <c r="AP675" s="1"/>
      <c r="AQ675" s="2"/>
      <c r="AR675" s="1"/>
      <c r="AS675" s="1"/>
      <c r="AT675" s="1"/>
      <c r="AU675" s="1"/>
      <c r="AV675"/>
      <c r="AW675" s="1"/>
      <c r="AX675" s="1"/>
    </row>
    <row r="676" spans="40:50" x14ac:dyDescent="0.25">
      <c r="AN676" s="1" t="s">
        <v>672</v>
      </c>
      <c r="AO676" s="5" t="s">
        <v>184</v>
      </c>
      <c r="AP676" s="1">
        <v>16</v>
      </c>
      <c r="AQ676" s="2">
        <v>30000</v>
      </c>
      <c r="AR676" s="1">
        <v>5</v>
      </c>
      <c r="AS676" s="1">
        <v>2</v>
      </c>
      <c r="AT676" s="1">
        <v>3</v>
      </c>
      <c r="AU676" s="1">
        <v>6</v>
      </c>
      <c r="AV676" t="s">
        <v>539</v>
      </c>
      <c r="AW676" s="1" t="s">
        <v>85</v>
      </c>
      <c r="AX676" s="1" t="s">
        <v>642</v>
      </c>
    </row>
    <row r="677" spans="40:50" x14ac:dyDescent="0.25">
      <c r="AN677" s="1" t="s">
        <v>672</v>
      </c>
      <c r="AO677" s="5" t="s">
        <v>805</v>
      </c>
      <c r="AP677" s="1">
        <v>2</v>
      </c>
      <c r="AQ677" s="2">
        <v>50000</v>
      </c>
      <c r="AR677" s="1">
        <v>5</v>
      </c>
      <c r="AS677" s="1">
        <v>2</v>
      </c>
      <c r="AT677" s="1">
        <v>3</v>
      </c>
      <c r="AU677" s="1">
        <v>6</v>
      </c>
      <c r="AV677" t="s">
        <v>809</v>
      </c>
      <c r="AW677" s="1" t="s">
        <v>85</v>
      </c>
      <c r="AX677" s="1" t="s">
        <v>642</v>
      </c>
    </row>
    <row r="678" spans="40:50" x14ac:dyDescent="0.25">
      <c r="AN678" s="1" t="s">
        <v>672</v>
      </c>
      <c r="AO678" s="5" t="s">
        <v>806</v>
      </c>
      <c r="AP678" s="1">
        <v>2</v>
      </c>
      <c r="AQ678" s="2">
        <v>50000</v>
      </c>
      <c r="AR678" s="1">
        <v>5</v>
      </c>
      <c r="AS678" s="1">
        <v>2</v>
      </c>
      <c r="AT678" s="1">
        <v>3</v>
      </c>
      <c r="AU678" s="1">
        <v>7</v>
      </c>
      <c r="AV678" t="s">
        <v>810</v>
      </c>
      <c r="AW678" s="1" t="s">
        <v>29</v>
      </c>
      <c r="AX678" s="1" t="s">
        <v>638</v>
      </c>
    </row>
    <row r="679" spans="40:50" x14ac:dyDescent="0.25">
      <c r="AN679" s="1" t="s">
        <v>672</v>
      </c>
      <c r="AO679" s="5" t="s">
        <v>404</v>
      </c>
      <c r="AP679" s="1">
        <v>2</v>
      </c>
      <c r="AQ679" s="2">
        <v>120000</v>
      </c>
      <c r="AR679" s="1">
        <v>2</v>
      </c>
      <c r="AS679" s="1">
        <v>6</v>
      </c>
      <c r="AT679" s="1">
        <v>1</v>
      </c>
      <c r="AU679" s="1">
        <v>10</v>
      </c>
      <c r="AV679" t="s">
        <v>598</v>
      </c>
      <c r="AW679" s="1" t="s">
        <v>635</v>
      </c>
      <c r="AX679" s="1" t="s">
        <v>45</v>
      </c>
    </row>
    <row r="680" spans="40:50" x14ac:dyDescent="0.25">
      <c r="AN680" s="1" t="s">
        <v>672</v>
      </c>
      <c r="AO680" s="5" t="s">
        <v>380</v>
      </c>
      <c r="AP680" s="1">
        <v>11</v>
      </c>
      <c r="AQ680" s="2">
        <v>30000</v>
      </c>
      <c r="AR680" s="1">
        <v>5</v>
      </c>
      <c r="AS680" s="1">
        <v>2</v>
      </c>
      <c r="AT680" s="1">
        <v>3</v>
      </c>
      <c r="AU680" s="1">
        <v>6</v>
      </c>
      <c r="AV680" t="s">
        <v>540</v>
      </c>
      <c r="AW680" s="1" t="s">
        <v>85</v>
      </c>
      <c r="AX680" s="1" t="s">
        <v>642</v>
      </c>
    </row>
    <row r="681" spans="40:50" x14ac:dyDescent="0.25">
      <c r="AN681" s="1" t="s">
        <v>672</v>
      </c>
      <c r="AO681" s="5" t="s">
        <v>795</v>
      </c>
      <c r="AP681" s="1">
        <v>1</v>
      </c>
      <c r="AQ681" s="2">
        <v>50000</v>
      </c>
      <c r="AR681" s="1">
        <v>5</v>
      </c>
      <c r="AS681" s="1">
        <v>2</v>
      </c>
      <c r="AT681" s="1">
        <v>3</v>
      </c>
      <c r="AU681" s="1">
        <v>6</v>
      </c>
      <c r="AV681" t="s">
        <v>799</v>
      </c>
      <c r="AW681" s="1" t="s">
        <v>37</v>
      </c>
      <c r="AX681" s="1" t="s">
        <v>37</v>
      </c>
    </row>
    <row r="682" spans="40:50" x14ac:dyDescent="0.25">
      <c r="AN682" s="1" t="s">
        <v>672</v>
      </c>
      <c r="AO682" s="5" t="s">
        <v>794</v>
      </c>
      <c r="AP682" s="1">
        <v>1</v>
      </c>
      <c r="AQ682" s="2">
        <v>70000</v>
      </c>
      <c r="AR682" s="1">
        <v>5</v>
      </c>
      <c r="AS682" s="1">
        <v>2</v>
      </c>
      <c r="AT682" s="1">
        <v>3</v>
      </c>
      <c r="AU682" s="1">
        <v>6</v>
      </c>
      <c r="AV682" t="s">
        <v>798</v>
      </c>
      <c r="AW682" s="1" t="s">
        <v>37</v>
      </c>
      <c r="AX682" s="1" t="s">
        <v>37</v>
      </c>
    </row>
    <row r="683" spans="40:50" x14ac:dyDescent="0.25">
      <c r="AN683" s="1" t="s">
        <v>672</v>
      </c>
      <c r="AO683" s="5" t="s">
        <v>870</v>
      </c>
      <c r="AP683" s="1">
        <v>1</v>
      </c>
      <c r="AQ683" s="2">
        <v>100000</v>
      </c>
      <c r="AR683" s="1">
        <v>6</v>
      </c>
      <c r="AS683" s="1">
        <v>2</v>
      </c>
      <c r="AT683" s="1">
        <v>3</v>
      </c>
      <c r="AU683" s="1">
        <v>7</v>
      </c>
      <c r="AV683" t="s">
        <v>802</v>
      </c>
      <c r="AW683" s="1" t="s">
        <v>37</v>
      </c>
      <c r="AX683" s="1" t="s">
        <v>37</v>
      </c>
    </row>
    <row r="684" spans="40:50" x14ac:dyDescent="0.25">
      <c r="AN684" s="1" t="s">
        <v>672</v>
      </c>
      <c r="AO684" s="5" t="s">
        <v>797</v>
      </c>
      <c r="AP684" s="1">
        <v>1</v>
      </c>
      <c r="AQ684" s="2">
        <v>120000</v>
      </c>
      <c r="AR684" s="1">
        <v>4</v>
      </c>
      <c r="AS684" s="1">
        <v>3</v>
      </c>
      <c r="AT684" s="1">
        <v>2</v>
      </c>
      <c r="AU684" s="1">
        <v>8</v>
      </c>
      <c r="AV684" t="s">
        <v>801</v>
      </c>
      <c r="AW684" s="1" t="s">
        <v>37</v>
      </c>
      <c r="AX684" s="1" t="s">
        <v>37</v>
      </c>
    </row>
    <row r="685" spans="40:50" x14ac:dyDescent="0.25">
      <c r="AN685" s="1" t="s">
        <v>672</v>
      </c>
      <c r="AO685" s="5" t="s">
        <v>427</v>
      </c>
      <c r="AP685" s="1">
        <v>1</v>
      </c>
      <c r="AQ685" s="2">
        <v>140000</v>
      </c>
      <c r="AR685" s="1">
        <v>5</v>
      </c>
      <c r="AS685" s="1">
        <v>3</v>
      </c>
      <c r="AT685" s="1">
        <v>3</v>
      </c>
      <c r="AU685" s="1">
        <v>6</v>
      </c>
      <c r="AV685" s="5" t="s">
        <v>541</v>
      </c>
      <c r="AW685" s="1" t="s">
        <v>37</v>
      </c>
      <c r="AX685" s="1" t="s">
        <v>37</v>
      </c>
    </row>
    <row r="686" spans="40:50" x14ac:dyDescent="0.25">
      <c r="AN686" s="1" t="s">
        <v>672</v>
      </c>
      <c r="AO686" s="5" t="s">
        <v>382</v>
      </c>
      <c r="AP686" s="1">
        <v>1</v>
      </c>
      <c r="AQ686" s="2">
        <v>150000</v>
      </c>
      <c r="AR686" s="1">
        <v>5</v>
      </c>
      <c r="AS686" s="1">
        <v>4</v>
      </c>
      <c r="AT686" s="1">
        <v>3</v>
      </c>
      <c r="AU686" s="1">
        <v>8</v>
      </c>
      <c r="AV686" s="5" t="s">
        <v>506</v>
      </c>
      <c r="AW686" s="1" t="s">
        <v>37</v>
      </c>
      <c r="AX686" s="1" t="s">
        <v>37</v>
      </c>
    </row>
    <row r="687" spans="40:50" x14ac:dyDescent="0.25">
      <c r="AN687" s="1" t="s">
        <v>672</v>
      </c>
      <c r="AO687" s="5" t="s">
        <v>796</v>
      </c>
      <c r="AP687" s="1">
        <v>1</v>
      </c>
      <c r="AQ687" s="2">
        <v>170000</v>
      </c>
      <c r="AR687" s="1">
        <v>6</v>
      </c>
      <c r="AS687" s="1">
        <v>3</v>
      </c>
      <c r="AT687" s="1">
        <v>3</v>
      </c>
      <c r="AU687" s="1">
        <v>7</v>
      </c>
      <c r="AV687" t="s">
        <v>800</v>
      </c>
      <c r="AW687" s="1" t="s">
        <v>37</v>
      </c>
      <c r="AX687" s="1" t="s">
        <v>37</v>
      </c>
    </row>
    <row r="688" spans="40:50" x14ac:dyDescent="0.25">
      <c r="AN688" s="1" t="s">
        <v>672</v>
      </c>
      <c r="AO688" s="5" t="s">
        <v>125</v>
      </c>
      <c r="AP688" s="1">
        <v>1</v>
      </c>
      <c r="AQ688" s="2">
        <v>220000</v>
      </c>
      <c r="AR688" s="1">
        <v>6</v>
      </c>
      <c r="AS688" s="1">
        <v>4</v>
      </c>
      <c r="AT688" s="1">
        <v>3</v>
      </c>
      <c r="AU688" s="1">
        <v>8</v>
      </c>
      <c r="AV688" s="5" t="s">
        <v>501</v>
      </c>
      <c r="AW688" s="1" t="s">
        <v>37</v>
      </c>
      <c r="AX688" s="1" t="s">
        <v>37</v>
      </c>
    </row>
    <row r="689" spans="40:50" x14ac:dyDescent="0.25">
      <c r="AN689" s="1" t="s">
        <v>672</v>
      </c>
      <c r="AO689" s="5" t="s">
        <v>376</v>
      </c>
      <c r="AP689" s="1">
        <v>1</v>
      </c>
      <c r="AQ689" s="2">
        <v>270000</v>
      </c>
      <c r="AR689" s="1">
        <v>6</v>
      </c>
      <c r="AS689" s="1">
        <v>4</v>
      </c>
      <c r="AT689" s="1">
        <v>3</v>
      </c>
      <c r="AU689" s="1">
        <v>8</v>
      </c>
      <c r="AV689" s="5" t="s">
        <v>502</v>
      </c>
      <c r="AW689" s="1" t="s">
        <v>37</v>
      </c>
      <c r="AX689" s="1" t="s">
        <v>37</v>
      </c>
    </row>
    <row r="690" spans="40:50" x14ac:dyDescent="0.25">
      <c r="AN690" s="1" t="s">
        <v>672</v>
      </c>
      <c r="AO690" s="5" t="s">
        <v>384</v>
      </c>
      <c r="AP690" s="1">
        <v>1</v>
      </c>
      <c r="AQ690" s="2">
        <v>290000</v>
      </c>
      <c r="AR690" s="1">
        <v>6</v>
      </c>
      <c r="AS690" s="1">
        <v>5</v>
      </c>
      <c r="AT690" s="1">
        <v>2</v>
      </c>
      <c r="AU690" s="1">
        <v>9</v>
      </c>
      <c r="AV690" s="5" t="s">
        <v>528</v>
      </c>
      <c r="AW690" s="1" t="s">
        <v>37</v>
      </c>
      <c r="AX690" s="1" t="s">
        <v>37</v>
      </c>
    </row>
    <row r="691" spans="40:50" x14ac:dyDescent="0.25">
      <c r="AN691" s="1" t="s">
        <v>672</v>
      </c>
      <c r="AO691" s="5" t="s">
        <v>428</v>
      </c>
      <c r="AP691" s="1">
        <v>1</v>
      </c>
      <c r="AQ691" s="2">
        <v>300000</v>
      </c>
      <c r="AR691" s="1">
        <v>2</v>
      </c>
      <c r="AS691" s="1">
        <v>7</v>
      </c>
      <c r="AT691" s="1">
        <v>1</v>
      </c>
      <c r="AU691" s="1">
        <v>10</v>
      </c>
      <c r="AV691" s="5" t="s">
        <v>783</v>
      </c>
      <c r="AW691" s="1" t="s">
        <v>37</v>
      </c>
      <c r="AX691" s="1" t="s">
        <v>37</v>
      </c>
    </row>
    <row r="692" spans="40:50" x14ac:dyDescent="0.25">
      <c r="AN692" s="1" t="s">
        <v>672</v>
      </c>
      <c r="AO692" s="99" t="s">
        <v>867</v>
      </c>
      <c r="AP692" s="92">
        <v>1</v>
      </c>
      <c r="AQ692" s="100">
        <v>380000</v>
      </c>
      <c r="AR692" s="92">
        <v>5</v>
      </c>
      <c r="AS692" s="92">
        <v>6</v>
      </c>
      <c r="AT692" s="92">
        <v>2</v>
      </c>
      <c r="AU692" s="92">
        <v>10</v>
      </c>
      <c r="AV692" s="99" t="s">
        <v>865</v>
      </c>
      <c r="AW692" s="1" t="s">
        <v>37</v>
      </c>
      <c r="AX692" s="1" t="s">
        <v>37</v>
      </c>
    </row>
    <row r="693" spans="40:50" x14ac:dyDescent="0.25">
      <c r="AN693" s="1" t="s">
        <v>672</v>
      </c>
      <c r="AO693" s="99" t="s">
        <v>879</v>
      </c>
      <c r="AP693" s="92">
        <v>16</v>
      </c>
      <c r="AQ693" s="100">
        <v>400000</v>
      </c>
      <c r="AR693" s="92">
        <v>6</v>
      </c>
      <c r="AS693" s="92">
        <v>7</v>
      </c>
      <c r="AT693" s="92">
        <v>2</v>
      </c>
      <c r="AU693" s="92">
        <v>10</v>
      </c>
      <c r="AV693" s="99" t="s">
        <v>880</v>
      </c>
      <c r="AW693" s="1" t="s">
        <v>37</v>
      </c>
      <c r="AX693" s="1" t="s">
        <v>37</v>
      </c>
    </row>
    <row r="694" spans="40:50" x14ac:dyDescent="0.25">
      <c r="AN694" s="1" t="s">
        <v>672</v>
      </c>
      <c r="AO694" s="5" t="s">
        <v>35</v>
      </c>
      <c r="AP694" s="1">
        <v>1</v>
      </c>
      <c r="AQ694" s="2">
        <v>430000</v>
      </c>
      <c r="AR694" s="1">
        <v>6</v>
      </c>
      <c r="AS694" s="1">
        <v>6</v>
      </c>
      <c r="AT694" s="1">
        <v>3</v>
      </c>
      <c r="AU694" s="1">
        <v>10</v>
      </c>
      <c r="AV694" s="5" t="s">
        <v>513</v>
      </c>
      <c r="AW694" s="1" t="s">
        <v>37</v>
      </c>
      <c r="AX694" s="1" t="s">
        <v>37</v>
      </c>
    </row>
    <row r="695" spans="40:50" x14ac:dyDescent="0.25">
      <c r="AN695" s="1" t="s">
        <v>673</v>
      </c>
      <c r="AO695" s="5"/>
      <c r="AP695" s="1"/>
      <c r="AQ695" s="2"/>
      <c r="AR695" s="1"/>
      <c r="AS695" s="1"/>
      <c r="AT695" s="1"/>
      <c r="AU695" s="1"/>
      <c r="AV695"/>
      <c r="AW695" s="1"/>
      <c r="AX695" s="1"/>
    </row>
    <row r="696" spans="40:50" x14ac:dyDescent="0.25">
      <c r="AN696" s="1" t="s">
        <v>673</v>
      </c>
      <c r="AO696" s="5" t="s">
        <v>429</v>
      </c>
      <c r="AP696" s="1">
        <v>16</v>
      </c>
      <c r="AQ696" s="2">
        <v>60000</v>
      </c>
      <c r="AR696" s="1">
        <v>8</v>
      </c>
      <c r="AS696" s="1">
        <v>2</v>
      </c>
      <c r="AT696" s="1">
        <v>3</v>
      </c>
      <c r="AU696" s="1">
        <v>7</v>
      </c>
      <c r="AV696" t="s">
        <v>542</v>
      </c>
      <c r="AW696" s="1" t="s">
        <v>85</v>
      </c>
      <c r="AX696" s="1" t="s">
        <v>642</v>
      </c>
    </row>
    <row r="697" spans="40:50" x14ac:dyDescent="0.25">
      <c r="AN697" s="1" t="s">
        <v>673</v>
      </c>
      <c r="AO697" s="99" t="s">
        <v>852</v>
      </c>
      <c r="AP697" s="92">
        <v>2</v>
      </c>
      <c r="AQ697" s="100">
        <v>70000</v>
      </c>
      <c r="AR697" s="92">
        <v>7</v>
      </c>
      <c r="AS697" s="92">
        <v>2</v>
      </c>
      <c r="AT697" s="92">
        <v>3</v>
      </c>
      <c r="AU697" s="92">
        <v>7</v>
      </c>
      <c r="AV697" s="65" t="s">
        <v>853</v>
      </c>
      <c r="AW697" s="1" t="s">
        <v>85</v>
      </c>
      <c r="AX697" s="1" t="s">
        <v>642</v>
      </c>
    </row>
    <row r="698" spans="40:50" x14ac:dyDescent="0.25">
      <c r="AN698" s="1" t="s">
        <v>673</v>
      </c>
      <c r="AO698" s="5" t="s">
        <v>430</v>
      </c>
      <c r="AP698" s="1">
        <v>6</v>
      </c>
      <c r="AQ698" s="2">
        <v>80000</v>
      </c>
      <c r="AR698" s="1">
        <v>6</v>
      </c>
      <c r="AS698" s="1">
        <v>4</v>
      </c>
      <c r="AT698" s="1">
        <v>1</v>
      </c>
      <c r="AU698" s="1">
        <v>9</v>
      </c>
      <c r="AV698" t="s">
        <v>647</v>
      </c>
      <c r="AW698" s="1" t="s">
        <v>638</v>
      </c>
      <c r="AX698" s="1" t="s">
        <v>29</v>
      </c>
    </row>
    <row r="699" spans="40:50" x14ac:dyDescent="0.25">
      <c r="AN699" s="1" t="s">
        <v>673</v>
      </c>
      <c r="AO699" s="5" t="s">
        <v>191</v>
      </c>
      <c r="AP699" s="1">
        <v>1</v>
      </c>
      <c r="AQ699" s="2">
        <v>140000</v>
      </c>
      <c r="AR699" s="1">
        <v>6</v>
      </c>
      <c r="AS699" s="1">
        <v>5</v>
      </c>
      <c r="AT699" s="1">
        <v>1</v>
      </c>
      <c r="AU699" s="1">
        <v>9</v>
      </c>
      <c r="AV699" t="s">
        <v>599</v>
      </c>
      <c r="AW699" s="1" t="s">
        <v>635</v>
      </c>
      <c r="AX699" s="1" t="s">
        <v>45</v>
      </c>
    </row>
    <row r="700" spans="40:50" x14ac:dyDescent="0.25">
      <c r="AN700" s="1" t="s">
        <v>673</v>
      </c>
      <c r="AO700" s="5" t="s">
        <v>380</v>
      </c>
      <c r="AP700" s="1">
        <v>11</v>
      </c>
      <c r="AQ700" s="2">
        <v>60000</v>
      </c>
      <c r="AR700" s="1">
        <v>8</v>
      </c>
      <c r="AS700" s="1">
        <v>2</v>
      </c>
      <c r="AT700" s="1">
        <v>3</v>
      </c>
      <c r="AU700" s="1">
        <v>7</v>
      </c>
      <c r="AV700" t="s">
        <v>543</v>
      </c>
      <c r="AW700" s="1" t="s">
        <v>85</v>
      </c>
      <c r="AX700" s="1" t="s">
        <v>642</v>
      </c>
    </row>
    <row r="701" spans="40:50" x14ac:dyDescent="0.25">
      <c r="AN701" s="1" t="s">
        <v>673</v>
      </c>
      <c r="AO701" s="5" t="s">
        <v>30</v>
      </c>
      <c r="AP701" s="1">
        <v>1</v>
      </c>
      <c r="AQ701" s="2">
        <v>110000</v>
      </c>
      <c r="AR701" s="1">
        <v>6</v>
      </c>
      <c r="AS701" s="1">
        <v>3</v>
      </c>
      <c r="AT701" s="1">
        <v>3</v>
      </c>
      <c r="AU701" s="1">
        <v>8</v>
      </c>
      <c r="AV701" s="5" t="s">
        <v>516</v>
      </c>
      <c r="AW701" s="1" t="s">
        <v>37</v>
      </c>
      <c r="AX701" s="1" t="s">
        <v>37</v>
      </c>
    </row>
    <row r="702" spans="40:50" x14ac:dyDescent="0.25">
      <c r="AN702" s="1" t="s">
        <v>673</v>
      </c>
      <c r="AO702" s="5" t="s">
        <v>290</v>
      </c>
      <c r="AP702" s="1">
        <v>1</v>
      </c>
      <c r="AQ702" s="2">
        <v>170000</v>
      </c>
      <c r="AR702" s="1">
        <v>8</v>
      </c>
      <c r="AS702" s="1">
        <v>2</v>
      </c>
      <c r="AT702" s="1">
        <v>3</v>
      </c>
      <c r="AU702" s="1">
        <v>7</v>
      </c>
      <c r="AV702" s="5" t="s">
        <v>544</v>
      </c>
      <c r="AW702" s="1" t="s">
        <v>37</v>
      </c>
      <c r="AX702" s="1" t="s">
        <v>37</v>
      </c>
    </row>
    <row r="703" spans="40:50" x14ac:dyDescent="0.25">
      <c r="AN703" s="1" t="s">
        <v>673</v>
      </c>
      <c r="AO703" s="99" t="s">
        <v>858</v>
      </c>
      <c r="AP703" s="92">
        <v>1</v>
      </c>
      <c r="AQ703" s="100">
        <v>190000</v>
      </c>
      <c r="AR703" s="1">
        <v>8</v>
      </c>
      <c r="AS703" s="1">
        <v>2</v>
      </c>
      <c r="AT703" s="1">
        <v>3</v>
      </c>
      <c r="AU703" s="1">
        <v>7</v>
      </c>
      <c r="AV703" s="99" t="s">
        <v>855</v>
      </c>
      <c r="AW703" s="1" t="s">
        <v>37</v>
      </c>
      <c r="AX703" s="1" t="s">
        <v>37</v>
      </c>
    </row>
    <row r="704" spans="40:50" x14ac:dyDescent="0.25">
      <c r="AN704" s="1" t="s">
        <v>673</v>
      </c>
      <c r="AO704" s="99" t="s">
        <v>847</v>
      </c>
      <c r="AP704" s="92">
        <v>1</v>
      </c>
      <c r="AQ704" s="1" t="s">
        <v>37</v>
      </c>
      <c r="AR704" s="1">
        <v>8</v>
      </c>
      <c r="AS704" s="1">
        <v>2</v>
      </c>
      <c r="AT704" s="1">
        <v>3</v>
      </c>
      <c r="AU704" s="1">
        <v>7</v>
      </c>
      <c r="AV704" s="99" t="s">
        <v>856</v>
      </c>
      <c r="AW704" s="1" t="s">
        <v>37</v>
      </c>
      <c r="AX704" s="1" t="s">
        <v>37</v>
      </c>
    </row>
    <row r="705" spans="40:50" x14ac:dyDescent="0.25">
      <c r="AN705" s="1" t="s">
        <v>673</v>
      </c>
      <c r="AO705" s="99" t="s">
        <v>845</v>
      </c>
      <c r="AP705" s="92">
        <v>1</v>
      </c>
      <c r="AQ705" s="100">
        <v>210000</v>
      </c>
      <c r="AR705" s="92">
        <v>7</v>
      </c>
      <c r="AS705" s="92">
        <v>4</v>
      </c>
      <c r="AT705" s="92">
        <v>1</v>
      </c>
      <c r="AU705" s="92">
        <v>9</v>
      </c>
      <c r="AV705" s="99" t="s">
        <v>857</v>
      </c>
      <c r="AW705" s="1" t="s">
        <v>37</v>
      </c>
      <c r="AX705" s="1" t="s">
        <v>37</v>
      </c>
    </row>
    <row r="706" spans="40:50" x14ac:dyDescent="0.25">
      <c r="AN706" s="1" t="s">
        <v>673</v>
      </c>
      <c r="AO706" s="5" t="s">
        <v>325</v>
      </c>
      <c r="AP706" s="1">
        <v>1</v>
      </c>
      <c r="AQ706" s="2">
        <v>220000</v>
      </c>
      <c r="AR706" s="1">
        <v>8</v>
      </c>
      <c r="AS706" s="1">
        <v>3</v>
      </c>
      <c r="AT706" s="1">
        <v>3</v>
      </c>
      <c r="AU706" s="1">
        <v>8</v>
      </c>
      <c r="AV706" s="5" t="s">
        <v>589</v>
      </c>
      <c r="AW706" s="1" t="s">
        <v>37</v>
      </c>
      <c r="AX706" s="1" t="s">
        <v>37</v>
      </c>
    </row>
    <row r="707" spans="40:50" x14ac:dyDescent="0.25">
      <c r="AN707" s="1" t="s">
        <v>673</v>
      </c>
      <c r="AO707" s="5" t="s">
        <v>431</v>
      </c>
      <c r="AP707" s="1">
        <v>1</v>
      </c>
      <c r="AQ707" s="2">
        <v>250000</v>
      </c>
      <c r="AR707" s="1">
        <v>8</v>
      </c>
      <c r="AS707" s="1">
        <v>2</v>
      </c>
      <c r="AT707" s="1">
        <v>4</v>
      </c>
      <c r="AU707" s="1">
        <v>7</v>
      </c>
      <c r="AV707" s="5" t="s">
        <v>590</v>
      </c>
      <c r="AW707" s="1" t="s">
        <v>37</v>
      </c>
      <c r="AX707" s="1" t="s">
        <v>37</v>
      </c>
    </row>
    <row r="708" spans="40:50" x14ac:dyDescent="0.25">
      <c r="AN708" s="1" t="s">
        <v>673</v>
      </c>
      <c r="AO708" s="5" t="s">
        <v>122</v>
      </c>
      <c r="AP708" s="1">
        <v>1</v>
      </c>
      <c r="AQ708" s="2">
        <v>250000</v>
      </c>
      <c r="AR708" s="1">
        <v>7</v>
      </c>
      <c r="AS708" s="1">
        <v>4</v>
      </c>
      <c r="AT708" s="1">
        <v>1</v>
      </c>
      <c r="AU708" s="1">
        <v>9</v>
      </c>
      <c r="AV708" s="5" t="s">
        <v>605</v>
      </c>
      <c r="AW708" s="1" t="s">
        <v>37</v>
      </c>
      <c r="AX708" s="1" t="s">
        <v>37</v>
      </c>
    </row>
    <row r="709" spans="40:50" x14ac:dyDescent="0.25">
      <c r="AN709" s="1" t="s">
        <v>673</v>
      </c>
      <c r="AO709" s="99" t="s">
        <v>836</v>
      </c>
      <c r="AP709" s="92">
        <v>1</v>
      </c>
      <c r="AQ709" s="100">
        <v>280000</v>
      </c>
      <c r="AR709" s="92">
        <v>5</v>
      </c>
      <c r="AS709" s="92">
        <v>5</v>
      </c>
      <c r="AT709" s="92">
        <v>2</v>
      </c>
      <c r="AU709" s="92">
        <v>9</v>
      </c>
      <c r="AV709" s="99" t="s">
        <v>837</v>
      </c>
      <c r="AW709" s="1" t="s">
        <v>37</v>
      </c>
      <c r="AX709" s="1" t="s">
        <v>37</v>
      </c>
    </row>
    <row r="710" spans="40:50" x14ac:dyDescent="0.25">
      <c r="AN710" s="1" t="s">
        <v>673</v>
      </c>
      <c r="AO710" s="99" t="s">
        <v>850</v>
      </c>
      <c r="AP710" s="92">
        <v>1</v>
      </c>
      <c r="AQ710" s="100">
        <v>360000</v>
      </c>
      <c r="AR710" s="92">
        <v>6</v>
      </c>
      <c r="AS710" s="92">
        <v>6</v>
      </c>
      <c r="AT710" s="92">
        <v>1</v>
      </c>
      <c r="AU710" s="92">
        <v>9</v>
      </c>
      <c r="AV710" s="99" t="s">
        <v>854</v>
      </c>
      <c r="AW710" s="1" t="s">
        <v>37</v>
      </c>
      <c r="AX710" s="1" t="s">
        <v>37</v>
      </c>
    </row>
    <row r="711" spans="40:50" x14ac:dyDescent="0.25">
      <c r="AN711" s="1" t="s">
        <v>673</v>
      </c>
      <c r="AO711" s="99" t="s">
        <v>867</v>
      </c>
      <c r="AP711" s="92">
        <v>1</v>
      </c>
      <c r="AQ711" s="100">
        <v>380000</v>
      </c>
      <c r="AR711" s="92">
        <v>5</v>
      </c>
      <c r="AS711" s="92">
        <v>6</v>
      </c>
      <c r="AT711" s="92">
        <v>2</v>
      </c>
      <c r="AU711" s="92">
        <v>10</v>
      </c>
      <c r="AV711" s="99" t="s">
        <v>865</v>
      </c>
      <c r="AW711" s="1" t="s">
        <v>37</v>
      </c>
      <c r="AX711" s="1" t="s">
        <v>37</v>
      </c>
    </row>
    <row r="712" spans="40:50" x14ac:dyDescent="0.25">
      <c r="AN712" s="1" t="s">
        <v>673</v>
      </c>
      <c r="AO712" s="99" t="s">
        <v>879</v>
      </c>
      <c r="AP712" s="92">
        <v>16</v>
      </c>
      <c r="AQ712" s="100">
        <v>400000</v>
      </c>
      <c r="AR712" s="92">
        <v>6</v>
      </c>
      <c r="AS712" s="92">
        <v>7</v>
      </c>
      <c r="AT712" s="92">
        <v>2</v>
      </c>
      <c r="AU712" s="92">
        <v>10</v>
      </c>
      <c r="AV712" s="99" t="s">
        <v>880</v>
      </c>
      <c r="AW712" s="1" t="s">
        <v>37</v>
      </c>
      <c r="AX712" s="1" t="s">
        <v>37</v>
      </c>
    </row>
    <row r="713" spans="40:50" x14ac:dyDescent="0.25">
      <c r="AN713" s="1" t="s">
        <v>673</v>
      </c>
      <c r="AO713" s="5" t="s">
        <v>35</v>
      </c>
      <c r="AP713" s="1">
        <v>1</v>
      </c>
      <c r="AQ713" s="2">
        <v>430000</v>
      </c>
      <c r="AR713" s="1">
        <v>6</v>
      </c>
      <c r="AS713" s="1">
        <v>6</v>
      </c>
      <c r="AT713" s="1">
        <v>3</v>
      </c>
      <c r="AU713" s="1">
        <v>10</v>
      </c>
      <c r="AV713" s="5" t="s">
        <v>513</v>
      </c>
      <c r="AW713" s="1" t="s">
        <v>37</v>
      </c>
      <c r="AX713" s="1" t="s">
        <v>37</v>
      </c>
    </row>
    <row r="714" spans="40:50" x14ac:dyDescent="0.25">
      <c r="AN714" s="1" t="s">
        <v>363</v>
      </c>
      <c r="AO714" s="5"/>
      <c r="AP714" s="1"/>
      <c r="AQ714" s="2"/>
      <c r="AR714" s="1"/>
      <c r="AS714" s="1"/>
      <c r="AT714" s="1"/>
      <c r="AU714" s="1"/>
      <c r="AV714"/>
      <c r="AW714" s="1"/>
      <c r="AX714" s="1"/>
    </row>
    <row r="715" spans="40:50" x14ac:dyDescent="0.25">
      <c r="AN715" s="1" t="s">
        <v>363</v>
      </c>
      <c r="AO715" s="5" t="s">
        <v>370</v>
      </c>
      <c r="AP715" s="1">
        <v>16</v>
      </c>
      <c r="AQ715" s="2">
        <v>50000</v>
      </c>
      <c r="AR715" s="1">
        <v>6</v>
      </c>
      <c r="AS715" s="1">
        <v>3</v>
      </c>
      <c r="AT715" s="1">
        <v>3</v>
      </c>
      <c r="AU715" s="1">
        <v>8</v>
      </c>
      <c r="AV715" t="s">
        <v>647</v>
      </c>
      <c r="AW715" s="1" t="s">
        <v>22</v>
      </c>
      <c r="AX715" s="1" t="s">
        <v>636</v>
      </c>
    </row>
    <row r="716" spans="40:50" x14ac:dyDescent="0.25">
      <c r="AN716" s="1" t="s">
        <v>363</v>
      </c>
      <c r="AO716" s="5" t="s">
        <v>372</v>
      </c>
      <c r="AP716" s="1">
        <v>4</v>
      </c>
      <c r="AQ716" s="2">
        <v>60000</v>
      </c>
      <c r="AR716" s="1">
        <v>8</v>
      </c>
      <c r="AS716" s="1">
        <v>2</v>
      </c>
      <c r="AT716" s="1">
        <v>3</v>
      </c>
      <c r="AU716" s="1">
        <v>7</v>
      </c>
      <c r="AV716" t="s">
        <v>485</v>
      </c>
      <c r="AW716" s="1" t="s">
        <v>24</v>
      </c>
      <c r="AX716" s="1" t="s">
        <v>634</v>
      </c>
    </row>
    <row r="717" spans="40:50" x14ac:dyDescent="0.25">
      <c r="AN717" s="1" t="s">
        <v>363</v>
      </c>
      <c r="AO717" s="5" t="s">
        <v>371</v>
      </c>
      <c r="AP717" s="1">
        <v>2</v>
      </c>
      <c r="AQ717" s="2">
        <v>70000</v>
      </c>
      <c r="AR717" s="1">
        <v>6</v>
      </c>
      <c r="AS717" s="1">
        <v>3</v>
      </c>
      <c r="AT717" s="1">
        <v>3</v>
      </c>
      <c r="AU717" s="1">
        <v>8</v>
      </c>
      <c r="AV717" t="s">
        <v>492</v>
      </c>
      <c r="AW717" s="1" t="s">
        <v>23</v>
      </c>
      <c r="AX717" s="1" t="s">
        <v>636</v>
      </c>
    </row>
    <row r="718" spans="40:50" x14ac:dyDescent="0.25">
      <c r="AN718" s="1" t="s">
        <v>363</v>
      </c>
      <c r="AO718" s="5" t="s">
        <v>5</v>
      </c>
      <c r="AP718" s="1">
        <v>4</v>
      </c>
      <c r="AQ718" s="2">
        <v>90000</v>
      </c>
      <c r="AR718" s="1">
        <v>7</v>
      </c>
      <c r="AS718" s="1">
        <v>3</v>
      </c>
      <c r="AT718" s="1">
        <v>3</v>
      </c>
      <c r="AU718" s="1">
        <v>8</v>
      </c>
      <c r="AV718" t="s">
        <v>476</v>
      </c>
      <c r="AW718" s="1" t="s">
        <v>638</v>
      </c>
      <c r="AX718" s="1" t="s">
        <v>29</v>
      </c>
    </row>
    <row r="719" spans="40:50" x14ac:dyDescent="0.25">
      <c r="AN719" s="1" t="s">
        <v>363</v>
      </c>
      <c r="AO719" s="5" t="s">
        <v>366</v>
      </c>
      <c r="AP719" s="1">
        <v>1</v>
      </c>
      <c r="AQ719" s="2">
        <v>140000</v>
      </c>
      <c r="AR719" s="1">
        <v>5</v>
      </c>
      <c r="AS719" s="1">
        <v>5</v>
      </c>
      <c r="AT719" s="1">
        <v>2</v>
      </c>
      <c r="AU719" s="1">
        <v>9</v>
      </c>
      <c r="AV719" t="s">
        <v>526</v>
      </c>
      <c r="AW719" s="1" t="s">
        <v>635</v>
      </c>
      <c r="AX719" s="1" t="s">
        <v>45</v>
      </c>
    </row>
    <row r="720" spans="40:50" x14ac:dyDescent="0.25">
      <c r="AN720" s="1" t="s">
        <v>363</v>
      </c>
      <c r="AO720" s="5" t="s">
        <v>380</v>
      </c>
      <c r="AP720" s="1">
        <v>11</v>
      </c>
      <c r="AQ720" s="2">
        <v>50000</v>
      </c>
      <c r="AR720" s="1">
        <v>6</v>
      </c>
      <c r="AS720" s="1">
        <v>3</v>
      </c>
      <c r="AT720" s="1">
        <v>3</v>
      </c>
      <c r="AU720" s="1">
        <v>8</v>
      </c>
      <c r="AV720" t="s">
        <v>478</v>
      </c>
      <c r="AW720" s="1" t="s">
        <v>22</v>
      </c>
      <c r="AX720" s="1" t="s">
        <v>636</v>
      </c>
    </row>
    <row r="721" spans="40:50" x14ac:dyDescent="0.25">
      <c r="AN721" s="1" t="s">
        <v>363</v>
      </c>
      <c r="AO721" s="5" t="s">
        <v>30</v>
      </c>
      <c r="AP721" s="1">
        <v>1</v>
      </c>
      <c r="AQ721" s="2">
        <v>110000</v>
      </c>
      <c r="AR721" s="1">
        <v>6</v>
      </c>
      <c r="AS721" s="1">
        <v>3</v>
      </c>
      <c r="AT721" s="1">
        <v>3</v>
      </c>
      <c r="AU721" s="1">
        <v>8</v>
      </c>
      <c r="AV721" s="5" t="s">
        <v>516</v>
      </c>
      <c r="AW721" s="1" t="s">
        <v>37</v>
      </c>
      <c r="AX721" s="1" t="s">
        <v>37</v>
      </c>
    </row>
    <row r="722" spans="40:50" x14ac:dyDescent="0.25">
      <c r="AN722" s="1" t="s">
        <v>363</v>
      </c>
      <c r="AO722" s="5" t="s">
        <v>427</v>
      </c>
      <c r="AP722" s="1">
        <v>1</v>
      </c>
      <c r="AQ722" s="2">
        <v>140000</v>
      </c>
      <c r="AR722" s="1">
        <v>5</v>
      </c>
      <c r="AS722" s="1">
        <v>3</v>
      </c>
      <c r="AT722" s="1">
        <v>3</v>
      </c>
      <c r="AU722" s="1">
        <v>6</v>
      </c>
      <c r="AV722" s="5" t="s">
        <v>541</v>
      </c>
      <c r="AW722" s="1" t="s">
        <v>37</v>
      </c>
      <c r="AX722" s="1" t="s">
        <v>37</v>
      </c>
    </row>
    <row r="723" spans="40:50" x14ac:dyDescent="0.25">
      <c r="AN723" s="1" t="s">
        <v>363</v>
      </c>
      <c r="AO723" s="5" t="s">
        <v>125</v>
      </c>
      <c r="AP723" s="1">
        <v>1</v>
      </c>
      <c r="AQ723" s="2">
        <v>220000</v>
      </c>
      <c r="AR723" s="1">
        <v>6</v>
      </c>
      <c r="AS723" s="1">
        <v>4</v>
      </c>
      <c r="AT723" s="1">
        <v>3</v>
      </c>
      <c r="AU723" s="1">
        <v>8</v>
      </c>
      <c r="AV723" s="5" t="s">
        <v>501</v>
      </c>
      <c r="AW723" s="1" t="s">
        <v>37</v>
      </c>
      <c r="AX723" s="1" t="s">
        <v>37</v>
      </c>
    </row>
    <row r="724" spans="40:50" x14ac:dyDescent="0.25">
      <c r="AN724" s="1" t="s">
        <v>363</v>
      </c>
      <c r="AO724" s="5" t="s">
        <v>386</v>
      </c>
      <c r="AP724" s="1">
        <v>1</v>
      </c>
      <c r="AQ724" s="2">
        <v>260000</v>
      </c>
      <c r="AR724" s="1">
        <v>4</v>
      </c>
      <c r="AS724" s="1">
        <v>5</v>
      </c>
      <c r="AT724" s="1">
        <v>2</v>
      </c>
      <c r="AU724" s="1">
        <v>9</v>
      </c>
      <c r="AV724" s="5" t="s">
        <v>504</v>
      </c>
      <c r="AW724" s="1" t="s">
        <v>37</v>
      </c>
      <c r="AX724" s="1" t="s">
        <v>37</v>
      </c>
    </row>
    <row r="725" spans="40:50" x14ac:dyDescent="0.25">
      <c r="AN725" s="92" t="s">
        <v>363</v>
      </c>
      <c r="AO725" s="99" t="s">
        <v>693</v>
      </c>
      <c r="AP725" s="92">
        <v>1</v>
      </c>
      <c r="AQ725" s="100">
        <v>270000</v>
      </c>
      <c r="AR725" s="92">
        <v>4</v>
      </c>
      <c r="AS725" s="92">
        <v>5</v>
      </c>
      <c r="AT725" s="92">
        <v>1</v>
      </c>
      <c r="AU725" s="92">
        <v>9</v>
      </c>
      <c r="AV725" s="99" t="s">
        <v>761</v>
      </c>
      <c r="AW725" s="1" t="s">
        <v>37</v>
      </c>
      <c r="AX725" s="1" t="s">
        <v>37</v>
      </c>
    </row>
    <row r="726" spans="40:50" x14ac:dyDescent="0.25">
      <c r="AN726" s="1" t="s">
        <v>363</v>
      </c>
      <c r="AO726" s="5" t="s">
        <v>376</v>
      </c>
      <c r="AP726" s="1">
        <v>1</v>
      </c>
      <c r="AQ726" s="2">
        <v>270000</v>
      </c>
      <c r="AR726" s="1">
        <v>6</v>
      </c>
      <c r="AS726" s="1">
        <v>4</v>
      </c>
      <c r="AT726" s="1">
        <v>3</v>
      </c>
      <c r="AU726" s="1">
        <v>8</v>
      </c>
      <c r="AV726" s="5" t="s">
        <v>502</v>
      </c>
      <c r="AW726" s="1" t="s">
        <v>37</v>
      </c>
      <c r="AX726" s="1" t="s">
        <v>37</v>
      </c>
    </row>
    <row r="727" spans="40:50" x14ac:dyDescent="0.25">
      <c r="AN727" s="1" t="s">
        <v>363</v>
      </c>
      <c r="AO727" s="5" t="s">
        <v>107</v>
      </c>
      <c r="AP727" s="1">
        <v>1</v>
      </c>
      <c r="AQ727" s="2">
        <v>320000</v>
      </c>
      <c r="AR727" s="1">
        <v>7</v>
      </c>
      <c r="AS727" s="1">
        <v>4</v>
      </c>
      <c r="AT727" s="1">
        <v>4</v>
      </c>
      <c r="AU727" s="1">
        <v>8</v>
      </c>
      <c r="AV727" s="5" t="s">
        <v>530</v>
      </c>
      <c r="AW727" s="1" t="s">
        <v>37</v>
      </c>
      <c r="AX727" s="1" t="s">
        <v>37</v>
      </c>
    </row>
    <row r="728" spans="40:50" x14ac:dyDescent="0.25">
      <c r="AN728" s="1" t="s">
        <v>363</v>
      </c>
      <c r="AO728" s="99" t="s">
        <v>867</v>
      </c>
      <c r="AP728" s="92">
        <v>1</v>
      </c>
      <c r="AQ728" s="100">
        <v>380000</v>
      </c>
      <c r="AR728" s="92">
        <v>5</v>
      </c>
      <c r="AS728" s="92">
        <v>6</v>
      </c>
      <c r="AT728" s="92">
        <v>2</v>
      </c>
      <c r="AU728" s="92">
        <v>10</v>
      </c>
      <c r="AV728" s="99" t="s">
        <v>865</v>
      </c>
      <c r="AW728" s="1" t="s">
        <v>37</v>
      </c>
      <c r="AX728" s="1" t="s">
        <v>37</v>
      </c>
    </row>
    <row r="729" spans="40:50" x14ac:dyDescent="0.25">
      <c r="AN729" s="1" t="s">
        <v>363</v>
      </c>
      <c r="AO729" s="99" t="s">
        <v>879</v>
      </c>
      <c r="AP729" s="92">
        <v>16</v>
      </c>
      <c r="AQ729" s="100">
        <v>400000</v>
      </c>
      <c r="AR729" s="92">
        <v>6</v>
      </c>
      <c r="AS729" s="92">
        <v>7</v>
      </c>
      <c r="AT729" s="92">
        <v>2</v>
      </c>
      <c r="AU729" s="92">
        <v>10</v>
      </c>
      <c r="AV729" s="99" t="s">
        <v>880</v>
      </c>
      <c r="AW729" s="1" t="s">
        <v>37</v>
      </c>
      <c r="AX729" s="1" t="s">
        <v>37</v>
      </c>
    </row>
    <row r="730" spans="40:50" x14ac:dyDescent="0.25">
      <c r="AN730" s="1" t="s">
        <v>363</v>
      </c>
      <c r="AO730" s="5" t="s">
        <v>35</v>
      </c>
      <c r="AP730" s="1">
        <v>1</v>
      </c>
      <c r="AQ730" s="2">
        <v>430000</v>
      </c>
      <c r="AR730" s="1">
        <v>6</v>
      </c>
      <c r="AS730" s="1">
        <v>6</v>
      </c>
      <c r="AT730" s="1">
        <v>3</v>
      </c>
      <c r="AU730" s="1">
        <v>10</v>
      </c>
      <c r="AV730" s="5" t="s">
        <v>513</v>
      </c>
      <c r="AW730" s="1" t="s">
        <v>37</v>
      </c>
      <c r="AX730" s="1" t="s">
        <v>37</v>
      </c>
    </row>
    <row r="731" spans="40:50" x14ac:dyDescent="0.25">
      <c r="AN731" s="1" t="s">
        <v>368</v>
      </c>
      <c r="AO731" s="5"/>
      <c r="AP731" s="1"/>
      <c r="AQ731"/>
      <c r="AR731" s="1"/>
      <c r="AS731" s="1"/>
      <c r="AT731" s="1"/>
      <c r="AU731" s="1"/>
      <c r="AV731"/>
      <c r="AW731" s="1"/>
      <c r="AX731" s="1"/>
    </row>
    <row r="732" spans="40:50" x14ac:dyDescent="0.25">
      <c r="AN732" s="1" t="s">
        <v>368</v>
      </c>
      <c r="AO732" s="5" t="s">
        <v>178</v>
      </c>
      <c r="AP732" s="1">
        <v>12</v>
      </c>
      <c r="AQ732" s="2">
        <v>40000</v>
      </c>
      <c r="AR732" s="1">
        <v>6</v>
      </c>
      <c r="AS732" s="1">
        <v>2</v>
      </c>
      <c r="AT732" s="1">
        <v>3</v>
      </c>
      <c r="AU732" s="1">
        <v>7</v>
      </c>
      <c r="AV732" t="s">
        <v>539</v>
      </c>
      <c r="AW732" s="1" t="s">
        <v>281</v>
      </c>
      <c r="AX732" s="1" t="s">
        <v>642</v>
      </c>
    </row>
    <row r="733" spans="40:50" x14ac:dyDescent="0.25">
      <c r="AN733" s="1" t="s">
        <v>368</v>
      </c>
      <c r="AO733" s="5" t="s">
        <v>433</v>
      </c>
      <c r="AP733" s="1">
        <v>2</v>
      </c>
      <c r="AQ733" s="2">
        <v>50000</v>
      </c>
      <c r="AR733" s="1">
        <v>7</v>
      </c>
      <c r="AS733" s="1">
        <v>3</v>
      </c>
      <c r="AT733" s="1">
        <v>3</v>
      </c>
      <c r="AU733" s="1">
        <v>7</v>
      </c>
      <c r="AV733" t="s">
        <v>606</v>
      </c>
      <c r="AW733" s="1" t="s">
        <v>282</v>
      </c>
      <c r="AX733" s="1" t="s">
        <v>636</v>
      </c>
    </row>
    <row r="734" spans="40:50" x14ac:dyDescent="0.25">
      <c r="AN734" s="1" t="s">
        <v>368</v>
      </c>
      <c r="AO734" s="5" t="s">
        <v>434</v>
      </c>
      <c r="AP734" s="1">
        <v>2</v>
      </c>
      <c r="AQ734" s="2">
        <v>70000</v>
      </c>
      <c r="AR734" s="1">
        <v>7</v>
      </c>
      <c r="AS734" s="1">
        <v>3</v>
      </c>
      <c r="AT734" s="1">
        <v>3</v>
      </c>
      <c r="AU734" s="1">
        <v>7</v>
      </c>
      <c r="AV734" t="s">
        <v>607</v>
      </c>
      <c r="AW734" s="1" t="s">
        <v>331</v>
      </c>
      <c r="AX734" s="1" t="s">
        <v>637</v>
      </c>
    </row>
    <row r="735" spans="40:50" x14ac:dyDescent="0.25">
      <c r="AN735" s="1" t="s">
        <v>368</v>
      </c>
      <c r="AO735" s="5" t="s">
        <v>435</v>
      </c>
      <c r="AP735" s="1">
        <v>2</v>
      </c>
      <c r="AQ735" s="2">
        <v>90000</v>
      </c>
      <c r="AR735" s="1">
        <v>7</v>
      </c>
      <c r="AS735" s="1">
        <v>3</v>
      </c>
      <c r="AT735" s="1">
        <v>3</v>
      </c>
      <c r="AU735" s="1">
        <v>8</v>
      </c>
      <c r="AV735" t="s">
        <v>608</v>
      </c>
      <c r="AW735" s="1" t="s">
        <v>639</v>
      </c>
      <c r="AX735" s="1" t="s">
        <v>29</v>
      </c>
    </row>
    <row r="736" spans="40:50" x14ac:dyDescent="0.25">
      <c r="AN736" s="1" t="s">
        <v>368</v>
      </c>
      <c r="AO736" s="5" t="s">
        <v>436</v>
      </c>
      <c r="AP736" s="1">
        <v>1</v>
      </c>
      <c r="AQ736" s="2">
        <v>110000</v>
      </c>
      <c r="AR736" s="1">
        <v>4</v>
      </c>
      <c r="AS736" s="1">
        <v>5</v>
      </c>
      <c r="AT736" s="1">
        <v>1</v>
      </c>
      <c r="AU736" s="1">
        <v>9</v>
      </c>
      <c r="AV736" t="s">
        <v>597</v>
      </c>
      <c r="AW736" s="1" t="s">
        <v>640</v>
      </c>
      <c r="AX736" s="1" t="s">
        <v>45</v>
      </c>
    </row>
    <row r="737" spans="40:50" x14ac:dyDescent="0.25">
      <c r="AN737" s="1" t="s">
        <v>368</v>
      </c>
      <c r="AO737" s="5" t="s">
        <v>380</v>
      </c>
      <c r="AP737" s="1">
        <v>11</v>
      </c>
      <c r="AQ737" s="2">
        <v>40000</v>
      </c>
      <c r="AR737" s="1">
        <v>6</v>
      </c>
      <c r="AS737" s="1">
        <v>2</v>
      </c>
      <c r="AT737" s="1">
        <v>3</v>
      </c>
      <c r="AU737" s="1">
        <v>7</v>
      </c>
      <c r="AV737" t="s">
        <v>540</v>
      </c>
      <c r="AW737" s="1" t="s">
        <v>281</v>
      </c>
      <c r="AX737" s="1" t="s">
        <v>642</v>
      </c>
    </row>
    <row r="738" spans="40:50" x14ac:dyDescent="0.25">
      <c r="AN738" s="1" t="s">
        <v>368</v>
      </c>
      <c r="AO738" s="5" t="s">
        <v>422</v>
      </c>
      <c r="AP738" s="1">
        <v>1</v>
      </c>
      <c r="AQ738" s="2">
        <v>60000</v>
      </c>
      <c r="AR738" s="1">
        <v>6</v>
      </c>
      <c r="AS738" s="1">
        <v>2</v>
      </c>
      <c r="AT738" s="1">
        <v>3</v>
      </c>
      <c r="AU738" s="1">
        <v>7</v>
      </c>
      <c r="AV738" s="5" t="s">
        <v>577</v>
      </c>
      <c r="AW738" s="1" t="s">
        <v>37</v>
      </c>
      <c r="AX738" s="1" t="s">
        <v>37</v>
      </c>
    </row>
    <row r="739" spans="40:50" x14ac:dyDescent="0.25">
      <c r="AN739" s="1" t="s">
        <v>368</v>
      </c>
      <c r="AO739" s="5" t="s">
        <v>104</v>
      </c>
      <c r="AP739" s="1">
        <v>1</v>
      </c>
      <c r="AQ739" s="2">
        <v>100000</v>
      </c>
      <c r="AR739" s="1">
        <v>4</v>
      </c>
      <c r="AS739" s="1">
        <v>7</v>
      </c>
      <c r="AT739" s="1">
        <v>3</v>
      </c>
      <c r="AU739" s="1">
        <v>7</v>
      </c>
      <c r="AV739" s="5" t="s">
        <v>616</v>
      </c>
      <c r="AW739" s="1" t="s">
        <v>37</v>
      </c>
      <c r="AX739" s="1" t="s">
        <v>37</v>
      </c>
    </row>
    <row r="740" spans="40:50" x14ac:dyDescent="0.25">
      <c r="AN740" s="1" t="s">
        <v>368</v>
      </c>
      <c r="AO740" s="5" t="s">
        <v>357</v>
      </c>
      <c r="AP740" s="1">
        <v>1</v>
      </c>
      <c r="AQ740" s="2">
        <v>130000</v>
      </c>
      <c r="AR740" s="1">
        <v>5</v>
      </c>
      <c r="AS740" s="1">
        <v>7</v>
      </c>
      <c r="AT740" s="1">
        <v>2</v>
      </c>
      <c r="AU740" s="1">
        <v>9</v>
      </c>
      <c r="AV740" s="5" t="s">
        <v>600</v>
      </c>
      <c r="AW740" s="1" t="s">
        <v>37</v>
      </c>
      <c r="AX740" s="1" t="s">
        <v>37</v>
      </c>
    </row>
    <row r="741" spans="40:50" x14ac:dyDescent="0.25">
      <c r="AN741" s="1" t="s">
        <v>368</v>
      </c>
      <c r="AO741" s="5" t="s">
        <v>413</v>
      </c>
      <c r="AP741" s="1">
        <v>1</v>
      </c>
      <c r="AQ741" s="2">
        <v>130000</v>
      </c>
      <c r="AR741" s="1">
        <v>6</v>
      </c>
      <c r="AS741" s="1">
        <v>2</v>
      </c>
      <c r="AT741" s="1">
        <v>3</v>
      </c>
      <c r="AU741" s="1">
        <v>7</v>
      </c>
      <c r="AV741" s="5" t="s">
        <v>538</v>
      </c>
      <c r="AW741" s="1" t="s">
        <v>37</v>
      </c>
      <c r="AX741" s="1" t="s">
        <v>37</v>
      </c>
    </row>
    <row r="742" spans="40:50" x14ac:dyDescent="0.25">
      <c r="AN742" s="1" t="s">
        <v>368</v>
      </c>
      <c r="AO742" s="5" t="s">
        <v>437</v>
      </c>
      <c r="AP742" s="1">
        <v>1</v>
      </c>
      <c r="AQ742" s="2">
        <v>160000</v>
      </c>
      <c r="AR742" s="1">
        <v>9</v>
      </c>
      <c r="AS742" s="1">
        <v>2</v>
      </c>
      <c r="AT742" s="1">
        <v>4</v>
      </c>
      <c r="AU742" s="1">
        <v>7</v>
      </c>
      <c r="AV742" s="5" t="s">
        <v>601</v>
      </c>
      <c r="AW742" s="1" t="s">
        <v>37</v>
      </c>
      <c r="AX742" s="1" t="s">
        <v>37</v>
      </c>
    </row>
    <row r="743" spans="40:50" x14ac:dyDescent="0.25">
      <c r="AN743" s="1" t="s">
        <v>368</v>
      </c>
      <c r="AO743" s="5" t="s">
        <v>425</v>
      </c>
      <c r="AP743" s="1">
        <v>1</v>
      </c>
      <c r="AQ743" s="2">
        <v>170000</v>
      </c>
      <c r="AR743" s="1">
        <v>6</v>
      </c>
      <c r="AS743" s="1">
        <v>4</v>
      </c>
      <c r="AT743" s="1">
        <v>3</v>
      </c>
      <c r="AU743" s="1">
        <v>8</v>
      </c>
      <c r="AV743" s="5" t="s">
        <v>588</v>
      </c>
      <c r="AW743" s="1" t="s">
        <v>37</v>
      </c>
      <c r="AX743" s="1" t="s">
        <v>37</v>
      </c>
    </row>
    <row r="744" spans="40:50" x14ac:dyDescent="0.25">
      <c r="AN744" s="1" t="s">
        <v>368</v>
      </c>
      <c r="AO744" s="5" t="s">
        <v>438</v>
      </c>
      <c r="AP744" s="1">
        <v>1</v>
      </c>
      <c r="AQ744" s="2">
        <v>210000</v>
      </c>
      <c r="AR744" s="1">
        <v>7</v>
      </c>
      <c r="AS744" s="1">
        <v>4</v>
      </c>
      <c r="AT744" s="1">
        <v>3</v>
      </c>
      <c r="AU744" s="1">
        <v>8</v>
      </c>
      <c r="AV744" s="5" t="s">
        <v>701</v>
      </c>
      <c r="AW744" s="1" t="s">
        <v>37</v>
      </c>
      <c r="AX744" s="1" t="s">
        <v>37</v>
      </c>
    </row>
    <row r="745" spans="40:50" x14ac:dyDescent="0.25">
      <c r="AN745" s="1" t="s">
        <v>368</v>
      </c>
      <c r="AO745" s="5" t="s">
        <v>439</v>
      </c>
      <c r="AP745" s="1">
        <v>1</v>
      </c>
      <c r="AQ745" s="2">
        <v>190000</v>
      </c>
      <c r="AR745" s="1">
        <v>5</v>
      </c>
      <c r="AS745" s="1">
        <v>4</v>
      </c>
      <c r="AT745" s="1">
        <v>2</v>
      </c>
      <c r="AU745" s="1">
        <v>8</v>
      </c>
      <c r="AV745" s="5" t="s">
        <v>610</v>
      </c>
      <c r="AW745" s="1" t="s">
        <v>37</v>
      </c>
      <c r="AX745" s="1" t="s">
        <v>37</v>
      </c>
    </row>
    <row r="746" spans="40:50" x14ac:dyDescent="0.25">
      <c r="AN746" s="1" t="s">
        <v>368</v>
      </c>
      <c r="AO746" s="5" t="s">
        <v>707</v>
      </c>
      <c r="AP746" s="1">
        <v>1</v>
      </c>
      <c r="AQ746" s="100">
        <v>230000</v>
      </c>
      <c r="AR746" s="1">
        <v>5</v>
      </c>
      <c r="AS746" s="1">
        <v>4</v>
      </c>
      <c r="AT746" s="1">
        <v>2</v>
      </c>
      <c r="AU746" s="1">
        <v>9</v>
      </c>
      <c r="AV746" s="99" t="s">
        <v>713</v>
      </c>
      <c r="AW746" s="1" t="s">
        <v>37</v>
      </c>
      <c r="AX746" s="1" t="s">
        <v>37</v>
      </c>
    </row>
    <row r="747" spans="40:50" x14ac:dyDescent="0.25">
      <c r="AN747" s="1" t="s">
        <v>368</v>
      </c>
      <c r="AO747" s="99" t="s">
        <v>867</v>
      </c>
      <c r="AP747" s="92">
        <v>1</v>
      </c>
      <c r="AQ747" s="100">
        <v>380000</v>
      </c>
      <c r="AR747" s="92">
        <v>5</v>
      </c>
      <c r="AS747" s="92">
        <v>6</v>
      </c>
      <c r="AT747" s="92">
        <v>2</v>
      </c>
      <c r="AU747" s="92">
        <v>10</v>
      </c>
      <c r="AV747" s="99" t="s">
        <v>865</v>
      </c>
      <c r="AW747" s="1" t="s">
        <v>37</v>
      </c>
      <c r="AX747" s="1" t="s">
        <v>37</v>
      </c>
    </row>
    <row r="748" spans="40:50" x14ac:dyDescent="0.25">
      <c r="AN748" s="1" t="s">
        <v>368</v>
      </c>
      <c r="AO748" s="99" t="s">
        <v>879</v>
      </c>
      <c r="AP748" s="92">
        <v>16</v>
      </c>
      <c r="AQ748" s="100">
        <v>400000</v>
      </c>
      <c r="AR748" s="92">
        <v>6</v>
      </c>
      <c r="AS748" s="92">
        <v>7</v>
      </c>
      <c r="AT748" s="92">
        <v>2</v>
      </c>
      <c r="AU748" s="92">
        <v>10</v>
      </c>
      <c r="AV748" s="99" t="s">
        <v>880</v>
      </c>
      <c r="AW748" s="1" t="s">
        <v>37</v>
      </c>
      <c r="AX748" s="1" t="s">
        <v>37</v>
      </c>
    </row>
    <row r="749" spans="40:50" x14ac:dyDescent="0.25">
      <c r="AN749" s="1" t="s">
        <v>368</v>
      </c>
      <c r="AO749" s="5" t="s">
        <v>35</v>
      </c>
      <c r="AP749" s="1">
        <v>1</v>
      </c>
      <c r="AQ749" s="2">
        <v>430000</v>
      </c>
      <c r="AR749" s="1">
        <v>6</v>
      </c>
      <c r="AS749" s="1">
        <v>6</v>
      </c>
      <c r="AT749" s="1">
        <v>3</v>
      </c>
      <c r="AU749" s="1">
        <v>10</v>
      </c>
      <c r="AV749" s="5" t="s">
        <v>513</v>
      </c>
      <c r="AW749" s="1" t="s">
        <v>37</v>
      </c>
      <c r="AX749" s="1" t="s">
        <v>37</v>
      </c>
    </row>
    <row r="750" spans="40:50" x14ac:dyDescent="0.25">
      <c r="AN750" s="1" t="s">
        <v>674</v>
      </c>
      <c r="AO750" s="5"/>
      <c r="AP750" s="1"/>
      <c r="AQ750" s="2"/>
      <c r="AR750" s="1"/>
      <c r="AS750" s="1"/>
      <c r="AT750" s="1"/>
      <c r="AU750" s="1"/>
      <c r="AV750"/>
      <c r="AW750" s="1"/>
      <c r="AX750" s="1"/>
    </row>
    <row r="751" spans="40:50" x14ac:dyDescent="0.25">
      <c r="AN751" s="1" t="s">
        <v>674</v>
      </c>
      <c r="AO751" s="5" t="s">
        <v>440</v>
      </c>
      <c r="AP751" s="1">
        <v>16</v>
      </c>
      <c r="AQ751" s="2">
        <v>40000</v>
      </c>
      <c r="AR751" s="1">
        <v>5</v>
      </c>
      <c r="AS751" s="1">
        <v>3</v>
      </c>
      <c r="AT751" s="1">
        <v>2</v>
      </c>
      <c r="AU751" s="1">
        <v>7</v>
      </c>
      <c r="AV751" t="s">
        <v>549</v>
      </c>
      <c r="AW751" s="1" t="s">
        <v>22</v>
      </c>
      <c r="AX751" s="1" t="s">
        <v>636</v>
      </c>
    </row>
    <row r="752" spans="40:50" x14ac:dyDescent="0.25">
      <c r="AN752" s="1" t="s">
        <v>674</v>
      </c>
      <c r="AO752" s="5" t="s">
        <v>186</v>
      </c>
      <c r="AP752" s="1">
        <v>2</v>
      </c>
      <c r="AQ752" s="2">
        <v>70000</v>
      </c>
      <c r="AR752" s="1">
        <v>6</v>
      </c>
      <c r="AS752" s="1">
        <v>3</v>
      </c>
      <c r="AT752" s="1">
        <v>2</v>
      </c>
      <c r="AU752" s="1">
        <v>7</v>
      </c>
      <c r="AV752" t="s">
        <v>550</v>
      </c>
      <c r="AW752" s="1" t="s">
        <v>23</v>
      </c>
      <c r="AX752" s="1" t="s">
        <v>636</v>
      </c>
    </row>
    <row r="753" spans="40:50" x14ac:dyDescent="0.25">
      <c r="AN753" s="1" t="s">
        <v>674</v>
      </c>
      <c r="AO753" s="5" t="s">
        <v>187</v>
      </c>
      <c r="AP753" s="1">
        <v>2</v>
      </c>
      <c r="AQ753" s="2">
        <v>90000</v>
      </c>
      <c r="AR753" s="1">
        <v>6</v>
      </c>
      <c r="AS753" s="1">
        <v>3</v>
      </c>
      <c r="AT753" s="1">
        <v>2</v>
      </c>
      <c r="AU753" s="1">
        <v>8</v>
      </c>
      <c r="AV753" t="s">
        <v>551</v>
      </c>
      <c r="AW753" s="1" t="s">
        <v>638</v>
      </c>
      <c r="AX753" s="1" t="s">
        <v>29</v>
      </c>
    </row>
    <row r="754" spans="40:50" x14ac:dyDescent="0.25">
      <c r="AN754" s="1" t="s">
        <v>674</v>
      </c>
      <c r="AO754" s="5" t="s">
        <v>442</v>
      </c>
      <c r="AP754" s="1">
        <v>4</v>
      </c>
      <c r="AQ754" s="2">
        <v>100000</v>
      </c>
      <c r="AR754" s="1">
        <v>4</v>
      </c>
      <c r="AS754" s="1">
        <v>5</v>
      </c>
      <c r="AT754" s="1">
        <v>1</v>
      </c>
      <c r="AU754" s="1">
        <v>9</v>
      </c>
      <c r="AV754" t="s">
        <v>612</v>
      </c>
      <c r="AW754" s="1" t="s">
        <v>635</v>
      </c>
      <c r="AX754" s="1" t="s">
        <v>45</v>
      </c>
    </row>
    <row r="755" spans="40:50" x14ac:dyDescent="0.25">
      <c r="AN755" s="1" t="s">
        <v>674</v>
      </c>
      <c r="AO755" s="5" t="s">
        <v>380</v>
      </c>
      <c r="AP755" s="1">
        <v>11</v>
      </c>
      <c r="AQ755" s="2">
        <v>40000</v>
      </c>
      <c r="AR755" s="1">
        <v>5</v>
      </c>
      <c r="AS755" s="1">
        <v>3</v>
      </c>
      <c r="AT755" s="1">
        <v>2</v>
      </c>
      <c r="AU755" s="1">
        <v>7</v>
      </c>
      <c r="AV755" t="s">
        <v>552</v>
      </c>
      <c r="AW755" s="1" t="s">
        <v>22</v>
      </c>
      <c r="AX755" s="1" t="s">
        <v>636</v>
      </c>
    </row>
    <row r="756" spans="40:50" x14ac:dyDescent="0.25">
      <c r="AN756" s="1" t="s">
        <v>674</v>
      </c>
      <c r="AO756" s="5" t="s">
        <v>121</v>
      </c>
      <c r="AP756" s="1">
        <v>1</v>
      </c>
      <c r="AQ756" s="2">
        <v>80000</v>
      </c>
      <c r="AR756" s="1">
        <v>6</v>
      </c>
      <c r="AS756" s="1">
        <v>3</v>
      </c>
      <c r="AT756" s="1">
        <v>2</v>
      </c>
      <c r="AU756" s="1">
        <v>7</v>
      </c>
      <c r="AV756" s="5" t="s">
        <v>553</v>
      </c>
      <c r="AW756" s="1" t="s">
        <v>37</v>
      </c>
      <c r="AX756" s="1" t="s">
        <v>37</v>
      </c>
    </row>
    <row r="757" spans="40:50" x14ac:dyDescent="0.25">
      <c r="AN757" s="1" t="s">
        <v>674</v>
      </c>
      <c r="AO757" s="5" t="s">
        <v>289</v>
      </c>
      <c r="AP757" s="1">
        <v>1</v>
      </c>
      <c r="AQ757" s="2">
        <v>120000</v>
      </c>
      <c r="AR757" s="1">
        <v>6</v>
      </c>
      <c r="AS757" s="1">
        <v>3</v>
      </c>
      <c r="AT757" s="1">
        <v>2</v>
      </c>
      <c r="AU757" s="1">
        <v>7</v>
      </c>
      <c r="AV757" s="5" t="s">
        <v>554</v>
      </c>
      <c r="AW757" s="1" t="s">
        <v>37</v>
      </c>
      <c r="AX757" s="1" t="s">
        <v>37</v>
      </c>
    </row>
    <row r="758" spans="40:50" x14ac:dyDescent="0.25">
      <c r="AN758" s="1" t="s">
        <v>674</v>
      </c>
      <c r="AO758" s="5" t="s">
        <v>765</v>
      </c>
      <c r="AP758" s="1">
        <v>1</v>
      </c>
      <c r="AQ758" s="2">
        <v>130000</v>
      </c>
      <c r="AR758" s="1">
        <v>5</v>
      </c>
      <c r="AS758" s="1">
        <v>3</v>
      </c>
      <c r="AT758" s="1">
        <v>2</v>
      </c>
      <c r="AU758" s="1">
        <v>8</v>
      </c>
      <c r="AV758" s="5" t="s">
        <v>771</v>
      </c>
      <c r="AW758" s="1" t="s">
        <v>37</v>
      </c>
      <c r="AX758" s="1" t="s">
        <v>37</v>
      </c>
    </row>
    <row r="759" spans="40:50" x14ac:dyDescent="0.25">
      <c r="AN759" s="1" t="s">
        <v>674</v>
      </c>
      <c r="AO759" s="5" t="s">
        <v>112</v>
      </c>
      <c r="AP759" s="1">
        <v>1</v>
      </c>
      <c r="AQ759" s="2">
        <v>130000</v>
      </c>
      <c r="AR759" s="1">
        <v>7</v>
      </c>
      <c r="AS759" s="1">
        <v>2</v>
      </c>
      <c r="AT759" s="1">
        <v>3</v>
      </c>
      <c r="AU759" s="1">
        <v>7</v>
      </c>
      <c r="AV759" s="5" t="s">
        <v>555</v>
      </c>
      <c r="AW759" s="1" t="s">
        <v>37</v>
      </c>
      <c r="AX759" s="1" t="s">
        <v>37</v>
      </c>
    </row>
    <row r="760" spans="40:50" x14ac:dyDescent="0.25">
      <c r="AN760" s="1" t="s">
        <v>674</v>
      </c>
      <c r="AO760" s="5" t="s">
        <v>767</v>
      </c>
      <c r="AP760" s="1">
        <v>1</v>
      </c>
      <c r="AQ760" s="2">
        <v>190000</v>
      </c>
      <c r="AR760" s="1">
        <v>6</v>
      </c>
      <c r="AS760" s="1">
        <v>3</v>
      </c>
      <c r="AT760" s="1">
        <v>3</v>
      </c>
      <c r="AU760" s="1">
        <v>8</v>
      </c>
      <c r="AV760" s="5" t="s">
        <v>773</v>
      </c>
      <c r="AW760" s="1" t="s">
        <v>37</v>
      </c>
      <c r="AX760" s="1" t="s">
        <v>37</v>
      </c>
    </row>
    <row r="761" spans="40:50" x14ac:dyDescent="0.25">
      <c r="AN761" s="1" t="s">
        <v>674</v>
      </c>
      <c r="AO761" s="5" t="s">
        <v>113</v>
      </c>
      <c r="AP761" s="1">
        <v>1</v>
      </c>
      <c r="AQ761" s="2">
        <v>220000</v>
      </c>
      <c r="AR761" s="1">
        <v>7</v>
      </c>
      <c r="AS761" s="1">
        <v>3</v>
      </c>
      <c r="AT761" s="1">
        <v>3</v>
      </c>
      <c r="AU761" s="1">
        <v>7</v>
      </c>
      <c r="AV761" s="5" t="s">
        <v>569</v>
      </c>
      <c r="AW761" s="1" t="s">
        <v>37</v>
      </c>
      <c r="AX761" s="1" t="s">
        <v>37</v>
      </c>
    </row>
    <row r="762" spans="40:50" x14ac:dyDescent="0.25">
      <c r="AN762" s="1" t="s">
        <v>674</v>
      </c>
      <c r="AO762" s="5" t="s">
        <v>292</v>
      </c>
      <c r="AP762" s="1">
        <v>1</v>
      </c>
      <c r="AQ762" s="2">
        <v>220000</v>
      </c>
      <c r="AR762" s="1">
        <v>6</v>
      </c>
      <c r="AS762" s="1">
        <v>4</v>
      </c>
      <c r="AT762" s="1">
        <v>2</v>
      </c>
      <c r="AU762" s="1">
        <v>8</v>
      </c>
      <c r="AV762" s="5" t="s">
        <v>556</v>
      </c>
      <c r="AW762" s="1" t="s">
        <v>37</v>
      </c>
      <c r="AX762" s="1" t="s">
        <v>37</v>
      </c>
    </row>
    <row r="763" spans="40:50" x14ac:dyDescent="0.25">
      <c r="AN763" s="1" t="s">
        <v>674</v>
      </c>
      <c r="AO763" s="5" t="s">
        <v>768</v>
      </c>
      <c r="AP763" s="1">
        <v>1</v>
      </c>
      <c r="AQ763" s="2">
        <v>230000</v>
      </c>
      <c r="AR763" s="1">
        <v>6</v>
      </c>
      <c r="AS763" s="1">
        <v>4</v>
      </c>
      <c r="AT763" s="1">
        <v>2</v>
      </c>
      <c r="AU763" s="1">
        <v>8</v>
      </c>
      <c r="AV763" s="5" t="s">
        <v>774</v>
      </c>
      <c r="AW763" s="1" t="s">
        <v>37</v>
      </c>
      <c r="AX763" s="1" t="s">
        <v>37</v>
      </c>
    </row>
    <row r="764" spans="40:50" x14ac:dyDescent="0.25">
      <c r="AN764" s="1" t="s">
        <v>674</v>
      </c>
      <c r="AO764" s="5" t="s">
        <v>119</v>
      </c>
      <c r="AP764" s="1">
        <v>1</v>
      </c>
      <c r="AQ764" s="2">
        <v>360000</v>
      </c>
      <c r="AR764" s="1">
        <v>5</v>
      </c>
      <c r="AS764" s="1">
        <v>6</v>
      </c>
      <c r="AT764" s="1">
        <v>1</v>
      </c>
      <c r="AU764" s="1">
        <v>9</v>
      </c>
      <c r="AV764" s="5" t="s">
        <v>557</v>
      </c>
      <c r="AW764" s="1" t="s">
        <v>37</v>
      </c>
      <c r="AX764" s="1" t="s">
        <v>37</v>
      </c>
    </row>
    <row r="765" spans="40:50" x14ac:dyDescent="0.25">
      <c r="AN765" s="1" t="s">
        <v>674</v>
      </c>
      <c r="AO765" s="99" t="s">
        <v>867</v>
      </c>
      <c r="AP765" s="92">
        <v>1</v>
      </c>
      <c r="AQ765" s="100">
        <v>380000</v>
      </c>
      <c r="AR765" s="92">
        <v>5</v>
      </c>
      <c r="AS765" s="92">
        <v>6</v>
      </c>
      <c r="AT765" s="92">
        <v>2</v>
      </c>
      <c r="AU765" s="92">
        <v>10</v>
      </c>
      <c r="AV765" s="99" t="s">
        <v>865</v>
      </c>
      <c r="AW765" s="1" t="s">
        <v>37</v>
      </c>
      <c r="AX765" s="1" t="s">
        <v>37</v>
      </c>
    </row>
    <row r="766" spans="40:50" x14ac:dyDescent="0.25">
      <c r="AN766" s="1" t="s">
        <v>674</v>
      </c>
      <c r="AO766" s="99" t="s">
        <v>879</v>
      </c>
      <c r="AP766" s="92">
        <v>16</v>
      </c>
      <c r="AQ766" s="100">
        <v>400000</v>
      </c>
      <c r="AR766" s="92">
        <v>6</v>
      </c>
      <c r="AS766" s="92">
        <v>7</v>
      </c>
      <c r="AT766" s="92">
        <v>2</v>
      </c>
      <c r="AU766" s="92">
        <v>10</v>
      </c>
      <c r="AV766" s="99" t="s">
        <v>880</v>
      </c>
      <c r="AW766" s="1" t="s">
        <v>37</v>
      </c>
      <c r="AX766" s="1" t="s">
        <v>37</v>
      </c>
    </row>
    <row r="767" spans="40:50" x14ac:dyDescent="0.25">
      <c r="AN767" s="1" t="s">
        <v>364</v>
      </c>
      <c r="AO767" s="5"/>
      <c r="AP767" s="1"/>
      <c r="AQ767" s="2"/>
      <c r="AR767" s="1"/>
      <c r="AS767" s="1"/>
      <c r="AT767" s="1"/>
      <c r="AU767" s="1"/>
      <c r="AV767"/>
      <c r="AW767" s="1"/>
      <c r="AX767" s="1"/>
    </row>
    <row r="768" spans="40:50" x14ac:dyDescent="0.25">
      <c r="AN768" s="1" t="s">
        <v>364</v>
      </c>
      <c r="AO768" s="5" t="s">
        <v>259</v>
      </c>
      <c r="AP768" s="1">
        <v>16</v>
      </c>
      <c r="AQ768" s="2">
        <v>40000</v>
      </c>
      <c r="AR768" s="1">
        <v>4</v>
      </c>
      <c r="AS768" s="1">
        <v>3</v>
      </c>
      <c r="AT768" s="1">
        <v>2</v>
      </c>
      <c r="AU768" s="1">
        <v>8</v>
      </c>
      <c r="AV768" t="s">
        <v>558</v>
      </c>
      <c r="AW768" s="1" t="s">
        <v>22</v>
      </c>
      <c r="AX768" s="1" t="s">
        <v>636</v>
      </c>
    </row>
    <row r="769" spans="40:50" x14ac:dyDescent="0.25">
      <c r="AN769" s="1" t="s">
        <v>364</v>
      </c>
      <c r="AO769" s="5" t="s">
        <v>443</v>
      </c>
      <c r="AP769" s="1">
        <v>2</v>
      </c>
      <c r="AQ769" s="2">
        <v>70000</v>
      </c>
      <c r="AR769" s="1">
        <v>7</v>
      </c>
      <c r="AS769" s="1">
        <v>3</v>
      </c>
      <c r="AT769" s="1">
        <v>3</v>
      </c>
      <c r="AU769" s="1">
        <v>7</v>
      </c>
      <c r="AV769" t="s">
        <v>480</v>
      </c>
      <c r="AW769" s="1" t="s">
        <v>24</v>
      </c>
      <c r="AX769" s="1" t="s">
        <v>634</v>
      </c>
    </row>
    <row r="770" spans="40:50" x14ac:dyDescent="0.25">
      <c r="AN770" s="1" t="s">
        <v>364</v>
      </c>
      <c r="AO770" s="5" t="s">
        <v>444</v>
      </c>
      <c r="AP770" s="1">
        <v>2</v>
      </c>
      <c r="AQ770" s="2">
        <v>90000</v>
      </c>
      <c r="AR770" s="1">
        <v>6</v>
      </c>
      <c r="AS770" s="1">
        <v>3</v>
      </c>
      <c r="AT770" s="1">
        <v>3</v>
      </c>
      <c r="AU770" s="1">
        <v>8</v>
      </c>
      <c r="AV770" t="s">
        <v>551</v>
      </c>
      <c r="AW770" s="1" t="s">
        <v>638</v>
      </c>
      <c r="AX770" s="1" t="s">
        <v>29</v>
      </c>
    </row>
    <row r="771" spans="40:50" x14ac:dyDescent="0.25">
      <c r="AN771" s="1" t="s">
        <v>364</v>
      </c>
      <c r="AO771" s="5" t="s">
        <v>445</v>
      </c>
      <c r="AP771" s="1">
        <v>2</v>
      </c>
      <c r="AQ771" s="2">
        <v>110000</v>
      </c>
      <c r="AR771" s="1">
        <v>4</v>
      </c>
      <c r="AS771" s="1">
        <v>4</v>
      </c>
      <c r="AT771" s="1">
        <v>2</v>
      </c>
      <c r="AU771" s="1">
        <v>9</v>
      </c>
      <c r="AV771" t="s">
        <v>559</v>
      </c>
      <c r="AW771" s="1" t="s">
        <v>638</v>
      </c>
      <c r="AX771" s="1" t="s">
        <v>29</v>
      </c>
    </row>
    <row r="772" spans="40:50" x14ac:dyDescent="0.25">
      <c r="AN772" s="1" t="s">
        <v>364</v>
      </c>
      <c r="AO772" s="5" t="s">
        <v>446</v>
      </c>
      <c r="AP772" s="1">
        <v>2</v>
      </c>
      <c r="AQ772" s="2">
        <v>120000</v>
      </c>
      <c r="AR772" s="1">
        <v>8</v>
      </c>
      <c r="AS772" s="1">
        <v>3</v>
      </c>
      <c r="AT772" s="1">
        <v>3</v>
      </c>
      <c r="AU772" s="1">
        <v>8</v>
      </c>
      <c r="AV772" t="s">
        <v>565</v>
      </c>
      <c r="AW772" s="1" t="s">
        <v>24</v>
      </c>
      <c r="AX772" s="1" t="s">
        <v>634</v>
      </c>
    </row>
    <row r="773" spans="40:50" x14ac:dyDescent="0.25">
      <c r="AN773" s="1" t="s">
        <v>364</v>
      </c>
      <c r="AO773" s="5" t="s">
        <v>380</v>
      </c>
      <c r="AP773" s="1">
        <v>11</v>
      </c>
      <c r="AQ773" s="2">
        <v>40000</v>
      </c>
      <c r="AR773" s="1">
        <v>4</v>
      </c>
      <c r="AS773" s="1">
        <v>3</v>
      </c>
      <c r="AT773" s="1">
        <v>2</v>
      </c>
      <c r="AU773" s="1">
        <v>8</v>
      </c>
      <c r="AV773" t="s">
        <v>560</v>
      </c>
      <c r="AW773" s="1" t="s">
        <v>22</v>
      </c>
      <c r="AX773" s="1" t="s">
        <v>636</v>
      </c>
    </row>
    <row r="774" spans="40:50" x14ac:dyDescent="0.25">
      <c r="AN774" s="1" t="s">
        <v>364</v>
      </c>
      <c r="AO774" s="5" t="s">
        <v>762</v>
      </c>
      <c r="AP774" s="1">
        <v>1</v>
      </c>
      <c r="AQ774" s="2">
        <v>100000</v>
      </c>
      <c r="AR774" s="1">
        <v>6</v>
      </c>
      <c r="AS774" s="1">
        <v>2</v>
      </c>
      <c r="AT774" s="1">
        <v>3</v>
      </c>
      <c r="AU774" s="1">
        <v>7</v>
      </c>
      <c r="AV774" s="5" t="s">
        <v>770</v>
      </c>
      <c r="AW774" s="1" t="s">
        <v>37</v>
      </c>
      <c r="AX774" s="1" t="s">
        <v>37</v>
      </c>
    </row>
    <row r="775" spans="40:50" x14ac:dyDescent="0.25">
      <c r="AN775" s="1" t="s">
        <v>364</v>
      </c>
      <c r="AO775" s="103" t="s">
        <v>764</v>
      </c>
      <c r="AP775" s="1">
        <v>1</v>
      </c>
      <c r="AQ775" s="2">
        <v>110000</v>
      </c>
      <c r="AR775" s="1">
        <v>4</v>
      </c>
      <c r="AS775" s="1">
        <v>3</v>
      </c>
      <c r="AT775" s="1">
        <v>2</v>
      </c>
      <c r="AU775" s="1">
        <v>8</v>
      </c>
      <c r="AV775" s="5" t="s">
        <v>769</v>
      </c>
      <c r="AW775" s="1" t="s">
        <v>37</v>
      </c>
      <c r="AX775" s="1" t="s">
        <v>37</v>
      </c>
    </row>
    <row r="776" spans="40:50" x14ac:dyDescent="0.25">
      <c r="AN776" s="1" t="s">
        <v>364</v>
      </c>
      <c r="AO776" s="5" t="s">
        <v>289</v>
      </c>
      <c r="AP776" s="1">
        <v>1</v>
      </c>
      <c r="AQ776" s="2">
        <v>120000</v>
      </c>
      <c r="AR776" s="1">
        <v>6</v>
      </c>
      <c r="AS776" s="1">
        <v>3</v>
      </c>
      <c r="AT776" s="1">
        <v>2</v>
      </c>
      <c r="AU776" s="1">
        <v>7</v>
      </c>
      <c r="AV776" s="5" t="s">
        <v>554</v>
      </c>
      <c r="AW776" s="1" t="s">
        <v>37</v>
      </c>
      <c r="AX776" s="1" t="s">
        <v>37</v>
      </c>
    </row>
    <row r="777" spans="40:50" x14ac:dyDescent="0.25">
      <c r="AN777" s="1" t="s">
        <v>364</v>
      </c>
      <c r="AO777" s="5" t="s">
        <v>766</v>
      </c>
      <c r="AP777" s="1">
        <v>1</v>
      </c>
      <c r="AQ777" s="2">
        <v>160000</v>
      </c>
      <c r="AR777" s="1">
        <v>7</v>
      </c>
      <c r="AS777" s="1">
        <v>3</v>
      </c>
      <c r="AT777" s="1">
        <v>3</v>
      </c>
      <c r="AU777" s="1">
        <v>7</v>
      </c>
      <c r="AV777" s="5" t="s">
        <v>772</v>
      </c>
      <c r="AW777" s="1" t="s">
        <v>37</v>
      </c>
      <c r="AX777" s="1" t="s">
        <v>37</v>
      </c>
    </row>
    <row r="778" spans="40:50" x14ac:dyDescent="0.25">
      <c r="AN778" s="1" t="s">
        <v>364</v>
      </c>
      <c r="AO778" s="5" t="s">
        <v>114</v>
      </c>
      <c r="AP778" s="1">
        <v>1</v>
      </c>
      <c r="AQ778" s="2">
        <v>180000</v>
      </c>
      <c r="AR778" s="1">
        <v>8</v>
      </c>
      <c r="AS778" s="1">
        <v>3</v>
      </c>
      <c r="AT778" s="1">
        <v>3</v>
      </c>
      <c r="AU778" s="1">
        <v>7</v>
      </c>
      <c r="AV778" s="5" t="s">
        <v>488</v>
      </c>
      <c r="AW778" s="1" t="s">
        <v>37</v>
      </c>
      <c r="AX778" s="1" t="s">
        <v>37</v>
      </c>
    </row>
    <row r="779" spans="40:50" x14ac:dyDescent="0.25">
      <c r="AN779" s="1" t="s">
        <v>364</v>
      </c>
      <c r="AO779" s="5" t="s">
        <v>292</v>
      </c>
      <c r="AP779" s="1">
        <v>1</v>
      </c>
      <c r="AQ779" s="2">
        <v>220000</v>
      </c>
      <c r="AR779" s="1">
        <v>6</v>
      </c>
      <c r="AS779" s="1">
        <v>4</v>
      </c>
      <c r="AT779" s="1">
        <v>2</v>
      </c>
      <c r="AU779" s="1">
        <v>8</v>
      </c>
      <c r="AV779" s="5" t="s">
        <v>556</v>
      </c>
      <c r="AW779" s="1" t="s">
        <v>37</v>
      </c>
      <c r="AX779" s="1" t="s">
        <v>37</v>
      </c>
    </row>
    <row r="780" spans="40:50" x14ac:dyDescent="0.25">
      <c r="AN780" s="1" t="s">
        <v>364</v>
      </c>
      <c r="AO780" s="5" t="s">
        <v>768</v>
      </c>
      <c r="AP780" s="1">
        <v>1</v>
      </c>
      <c r="AQ780" s="2">
        <v>230000</v>
      </c>
      <c r="AR780" s="1">
        <v>6</v>
      </c>
      <c r="AS780" s="1">
        <v>4</v>
      </c>
      <c r="AT780" s="1">
        <v>2</v>
      </c>
      <c r="AU780" s="1">
        <v>8</v>
      </c>
      <c r="AV780" s="5" t="s">
        <v>774</v>
      </c>
      <c r="AW780" s="1" t="s">
        <v>37</v>
      </c>
      <c r="AX780" s="1" t="s">
        <v>37</v>
      </c>
    </row>
    <row r="781" spans="40:50" x14ac:dyDescent="0.25">
      <c r="AN781" s="1" t="s">
        <v>364</v>
      </c>
      <c r="AO781" s="5" t="s">
        <v>294</v>
      </c>
      <c r="AP781" s="1">
        <v>1</v>
      </c>
      <c r="AQ781" s="2">
        <v>240000</v>
      </c>
      <c r="AR781" s="1">
        <v>8</v>
      </c>
      <c r="AS781" s="1">
        <v>4</v>
      </c>
      <c r="AT781" s="1">
        <v>3</v>
      </c>
      <c r="AU781" s="1">
        <v>8</v>
      </c>
      <c r="AV781" s="5" t="s">
        <v>566</v>
      </c>
      <c r="AW781" s="1" t="s">
        <v>37</v>
      </c>
      <c r="AX781" s="1" t="s">
        <v>37</v>
      </c>
    </row>
    <row r="782" spans="40:50" x14ac:dyDescent="0.25">
      <c r="AN782" s="92" t="s">
        <v>364</v>
      </c>
      <c r="AO782" s="99" t="s">
        <v>693</v>
      </c>
      <c r="AP782" s="92">
        <v>1</v>
      </c>
      <c r="AQ782" s="100">
        <v>270000</v>
      </c>
      <c r="AR782" s="92">
        <v>4</v>
      </c>
      <c r="AS782" s="92">
        <v>5</v>
      </c>
      <c r="AT782" s="92">
        <v>1</v>
      </c>
      <c r="AU782" s="92">
        <v>9</v>
      </c>
      <c r="AV782" s="99" t="s">
        <v>761</v>
      </c>
      <c r="AW782" s="1" t="s">
        <v>37</v>
      </c>
      <c r="AX782" s="1" t="s">
        <v>37</v>
      </c>
    </row>
    <row r="783" spans="40:50" x14ac:dyDescent="0.25">
      <c r="AN783" s="92" t="s">
        <v>364</v>
      </c>
      <c r="AO783" s="5" t="s">
        <v>780</v>
      </c>
      <c r="AP783" s="1">
        <v>1</v>
      </c>
      <c r="AQ783" s="2">
        <v>280000</v>
      </c>
      <c r="AR783" s="1">
        <v>7</v>
      </c>
      <c r="AS783" s="1">
        <v>3</v>
      </c>
      <c r="AT783" s="1">
        <v>4</v>
      </c>
      <c r="AU783" s="1">
        <v>8</v>
      </c>
      <c r="AV783" s="5" t="s">
        <v>781</v>
      </c>
      <c r="AW783" s="1" t="s">
        <v>37</v>
      </c>
      <c r="AX783" s="1" t="s">
        <v>37</v>
      </c>
    </row>
    <row r="784" spans="40:50" x14ac:dyDescent="0.25">
      <c r="AN784" s="1" t="s">
        <v>364</v>
      </c>
      <c r="AO784" s="5" t="s">
        <v>119</v>
      </c>
      <c r="AP784" s="1">
        <v>1</v>
      </c>
      <c r="AQ784" s="2">
        <v>360000</v>
      </c>
      <c r="AR784" s="1">
        <v>5</v>
      </c>
      <c r="AS784" s="1">
        <v>6</v>
      </c>
      <c r="AT784" s="1">
        <v>1</v>
      </c>
      <c r="AU784" s="1">
        <v>9</v>
      </c>
      <c r="AV784" s="5" t="s">
        <v>557</v>
      </c>
      <c r="AW784" s="1" t="s">
        <v>37</v>
      </c>
      <c r="AX784" s="1" t="s">
        <v>37</v>
      </c>
    </row>
    <row r="785" spans="40:50" x14ac:dyDescent="0.25">
      <c r="AN785" s="1" t="s">
        <v>364</v>
      </c>
      <c r="AO785" s="99" t="s">
        <v>867</v>
      </c>
      <c r="AP785" s="92">
        <v>1</v>
      </c>
      <c r="AQ785" s="100">
        <v>380000</v>
      </c>
      <c r="AR785" s="92">
        <v>5</v>
      </c>
      <c r="AS785" s="92">
        <v>6</v>
      </c>
      <c r="AT785" s="92">
        <v>2</v>
      </c>
      <c r="AU785" s="92">
        <v>10</v>
      </c>
      <c r="AV785" s="99" t="s">
        <v>865</v>
      </c>
      <c r="AW785" s="1" t="s">
        <v>37</v>
      </c>
      <c r="AX785" s="1" t="s">
        <v>37</v>
      </c>
    </row>
    <row r="786" spans="40:50" x14ac:dyDescent="0.25">
      <c r="AN786" s="1" t="s">
        <v>364</v>
      </c>
      <c r="AO786" s="5" t="s">
        <v>447</v>
      </c>
      <c r="AP786" s="1">
        <v>1</v>
      </c>
      <c r="AQ786" s="2">
        <v>390000</v>
      </c>
      <c r="AR786" s="1">
        <v>6</v>
      </c>
      <c r="AS786" s="1">
        <v>5</v>
      </c>
      <c r="AT786" s="1">
        <v>4</v>
      </c>
      <c r="AU786" s="1">
        <v>9</v>
      </c>
      <c r="AV786" s="5" t="s">
        <v>561</v>
      </c>
      <c r="AW786" s="1" t="s">
        <v>37</v>
      </c>
      <c r="AX786" s="1" t="s">
        <v>37</v>
      </c>
    </row>
    <row r="787" spans="40:50" x14ac:dyDescent="0.25">
      <c r="AN787" s="1" t="s">
        <v>364</v>
      </c>
      <c r="AO787" s="99" t="s">
        <v>879</v>
      </c>
      <c r="AP787" s="92">
        <v>16</v>
      </c>
      <c r="AQ787" s="100">
        <v>400000</v>
      </c>
      <c r="AR787" s="92">
        <v>6</v>
      </c>
      <c r="AS787" s="92">
        <v>7</v>
      </c>
      <c r="AT787" s="92">
        <v>2</v>
      </c>
      <c r="AU787" s="92">
        <v>10</v>
      </c>
      <c r="AV787" s="99" t="s">
        <v>880</v>
      </c>
      <c r="AW787" s="1" t="s">
        <v>37</v>
      </c>
      <c r="AX787" s="1" t="s">
        <v>37</v>
      </c>
    </row>
    <row r="788" spans="40:50" x14ac:dyDescent="0.25">
      <c r="AN788" s="1" t="s">
        <v>675</v>
      </c>
      <c r="AO788" s="5"/>
      <c r="AP788" s="1"/>
      <c r="AQ788" s="2"/>
      <c r="AR788" s="1"/>
      <c r="AS788" s="1"/>
      <c r="AT788" s="1"/>
      <c r="AU788" s="1"/>
      <c r="AV788"/>
      <c r="AW788" s="1"/>
      <c r="AX788" s="1"/>
    </row>
    <row r="789" spans="40:50" x14ac:dyDescent="0.25">
      <c r="AN789" s="1" t="s">
        <v>675</v>
      </c>
      <c r="AO789" s="5" t="s">
        <v>440</v>
      </c>
      <c r="AP789" s="1">
        <v>16</v>
      </c>
      <c r="AQ789" s="2">
        <v>40000</v>
      </c>
      <c r="AR789" s="1">
        <v>5</v>
      </c>
      <c r="AS789" s="1">
        <v>3</v>
      </c>
      <c r="AT789" s="1">
        <v>2</v>
      </c>
      <c r="AU789" s="1">
        <v>7</v>
      </c>
      <c r="AV789" t="s">
        <v>549</v>
      </c>
      <c r="AW789" s="1" t="s">
        <v>22</v>
      </c>
      <c r="AX789" s="1" t="s">
        <v>636</v>
      </c>
    </row>
    <row r="790" spans="40:50" x14ac:dyDescent="0.25">
      <c r="AN790" s="1" t="s">
        <v>675</v>
      </c>
      <c r="AO790" s="5" t="s">
        <v>259</v>
      </c>
      <c r="AP790" s="1">
        <v>16</v>
      </c>
      <c r="AQ790" s="2">
        <v>40000</v>
      </c>
      <c r="AR790" s="1">
        <v>4</v>
      </c>
      <c r="AS790" s="1">
        <v>3</v>
      </c>
      <c r="AT790" s="1">
        <v>2</v>
      </c>
      <c r="AU790" s="1">
        <v>8</v>
      </c>
      <c r="AV790" t="s">
        <v>558</v>
      </c>
      <c r="AW790" s="1" t="s">
        <v>22</v>
      </c>
      <c r="AX790" s="1" t="s">
        <v>636</v>
      </c>
    </row>
    <row r="791" spans="40:50" x14ac:dyDescent="0.25">
      <c r="AN791" s="1" t="s">
        <v>675</v>
      </c>
      <c r="AO791" s="5" t="s">
        <v>443</v>
      </c>
      <c r="AP791" s="1">
        <v>4</v>
      </c>
      <c r="AQ791" s="2">
        <v>70000</v>
      </c>
      <c r="AR791" s="1">
        <v>7</v>
      </c>
      <c r="AS791" s="1">
        <v>3</v>
      </c>
      <c r="AT791" s="1">
        <v>3</v>
      </c>
      <c r="AU791" s="1">
        <v>7</v>
      </c>
      <c r="AV791" t="s">
        <v>480</v>
      </c>
      <c r="AW791" s="1" t="s">
        <v>24</v>
      </c>
      <c r="AX791" s="1" t="s">
        <v>634</v>
      </c>
    </row>
    <row r="792" spans="40:50" x14ac:dyDescent="0.25">
      <c r="AN792" s="1" t="s">
        <v>675</v>
      </c>
      <c r="AO792" s="5" t="s">
        <v>444</v>
      </c>
      <c r="AP792" s="1">
        <v>2</v>
      </c>
      <c r="AQ792" s="2">
        <v>90000</v>
      </c>
      <c r="AR792" s="1">
        <v>6</v>
      </c>
      <c r="AS792" s="1">
        <v>3</v>
      </c>
      <c r="AT792" s="1">
        <v>3</v>
      </c>
      <c r="AU792" s="1">
        <v>8</v>
      </c>
      <c r="AV792" t="s">
        <v>551</v>
      </c>
      <c r="AW792" s="1" t="s">
        <v>638</v>
      </c>
      <c r="AX792" s="1" t="s">
        <v>29</v>
      </c>
    </row>
    <row r="793" spans="40:50" x14ac:dyDescent="0.25">
      <c r="AN793" s="1" t="s">
        <v>675</v>
      </c>
      <c r="AO793" s="5" t="s">
        <v>448</v>
      </c>
      <c r="AP793" s="1">
        <v>2</v>
      </c>
      <c r="AQ793" s="2">
        <v>120000</v>
      </c>
      <c r="AR793" s="1">
        <v>3</v>
      </c>
      <c r="AS793" s="1">
        <v>5</v>
      </c>
      <c r="AT793" s="1">
        <v>1</v>
      </c>
      <c r="AU793" s="1">
        <v>9</v>
      </c>
      <c r="AV793" t="s">
        <v>562</v>
      </c>
      <c r="AW793" s="1" t="s">
        <v>635</v>
      </c>
      <c r="AX793" s="1" t="s">
        <v>45</v>
      </c>
    </row>
    <row r="794" spans="40:50" x14ac:dyDescent="0.25">
      <c r="AN794" s="1" t="s">
        <v>675</v>
      </c>
      <c r="AO794" s="5" t="s">
        <v>441</v>
      </c>
      <c r="AP794" s="1">
        <v>11</v>
      </c>
      <c r="AQ794" s="2">
        <v>40000</v>
      </c>
      <c r="AR794" s="1">
        <v>5</v>
      </c>
      <c r="AS794" s="1">
        <v>3</v>
      </c>
      <c r="AT794" s="1">
        <v>2</v>
      </c>
      <c r="AU794" s="1">
        <v>7</v>
      </c>
      <c r="AV794" t="s">
        <v>552</v>
      </c>
      <c r="AW794" s="1" t="s">
        <v>22</v>
      </c>
      <c r="AX794" s="1" t="s">
        <v>636</v>
      </c>
    </row>
    <row r="795" spans="40:50" x14ac:dyDescent="0.25">
      <c r="AN795" s="1" t="s">
        <v>675</v>
      </c>
      <c r="AO795" s="5" t="s">
        <v>381</v>
      </c>
      <c r="AP795" s="1">
        <v>11</v>
      </c>
      <c r="AQ795" s="2">
        <v>40000</v>
      </c>
      <c r="AR795" s="1">
        <v>4</v>
      </c>
      <c r="AS795" s="1">
        <v>3</v>
      </c>
      <c r="AT795" s="1">
        <v>2</v>
      </c>
      <c r="AU795" s="1">
        <v>8</v>
      </c>
      <c r="AV795" t="s">
        <v>560</v>
      </c>
      <c r="AW795" s="1" t="s">
        <v>22</v>
      </c>
      <c r="AX795" s="1" t="s">
        <v>636</v>
      </c>
    </row>
    <row r="796" spans="40:50" x14ac:dyDescent="0.25">
      <c r="AN796" s="1" t="s">
        <v>675</v>
      </c>
      <c r="AO796" s="5" t="s">
        <v>121</v>
      </c>
      <c r="AP796" s="1">
        <v>1</v>
      </c>
      <c r="AQ796" s="2">
        <v>80000</v>
      </c>
      <c r="AR796" s="1">
        <v>6</v>
      </c>
      <c r="AS796" s="1">
        <v>3</v>
      </c>
      <c r="AT796" s="1">
        <v>2</v>
      </c>
      <c r="AU796" s="1">
        <v>7</v>
      </c>
      <c r="AV796" s="5" t="s">
        <v>553</v>
      </c>
      <c r="AW796" s="1" t="s">
        <v>37</v>
      </c>
      <c r="AX796" s="1" t="s">
        <v>37</v>
      </c>
    </row>
    <row r="797" spans="40:50" x14ac:dyDescent="0.25">
      <c r="AN797" s="1" t="s">
        <v>675</v>
      </c>
      <c r="AO797" s="5" t="s">
        <v>762</v>
      </c>
      <c r="AP797" s="1">
        <v>1</v>
      </c>
      <c r="AQ797" s="2">
        <v>100000</v>
      </c>
      <c r="AR797" s="1">
        <v>6</v>
      </c>
      <c r="AS797" s="1">
        <v>2</v>
      </c>
      <c r="AT797" s="1">
        <v>3</v>
      </c>
      <c r="AU797" s="1">
        <v>7</v>
      </c>
      <c r="AV797" s="5" t="s">
        <v>770</v>
      </c>
      <c r="AW797" s="1" t="s">
        <v>37</v>
      </c>
      <c r="AX797" s="1" t="s">
        <v>37</v>
      </c>
    </row>
    <row r="798" spans="40:50" x14ac:dyDescent="0.25">
      <c r="AN798" s="1" t="s">
        <v>675</v>
      </c>
      <c r="AO798" s="103" t="s">
        <v>764</v>
      </c>
      <c r="AP798" s="1">
        <v>1</v>
      </c>
      <c r="AQ798" s="2">
        <v>110000</v>
      </c>
      <c r="AR798" s="1">
        <v>4</v>
      </c>
      <c r="AS798" s="1">
        <v>3</v>
      </c>
      <c r="AT798" s="1">
        <v>2</v>
      </c>
      <c r="AU798" s="1">
        <v>8</v>
      </c>
      <c r="AV798" s="5" t="s">
        <v>769</v>
      </c>
      <c r="AW798" s="1" t="s">
        <v>37</v>
      </c>
      <c r="AX798" s="1" t="s">
        <v>37</v>
      </c>
    </row>
    <row r="799" spans="40:50" x14ac:dyDescent="0.25">
      <c r="AN799" s="1" t="s">
        <v>675</v>
      </c>
      <c r="AO799" s="5" t="s">
        <v>289</v>
      </c>
      <c r="AP799" s="1">
        <v>1</v>
      </c>
      <c r="AQ799" s="2">
        <v>120000</v>
      </c>
      <c r="AR799" s="1">
        <v>6</v>
      </c>
      <c r="AS799" s="1">
        <v>3</v>
      </c>
      <c r="AT799" s="1">
        <v>2</v>
      </c>
      <c r="AU799" s="1">
        <v>7</v>
      </c>
      <c r="AV799" s="5" t="s">
        <v>554</v>
      </c>
      <c r="AW799" s="1" t="s">
        <v>37</v>
      </c>
      <c r="AX799" s="1" t="s">
        <v>37</v>
      </c>
    </row>
    <row r="800" spans="40:50" x14ac:dyDescent="0.25">
      <c r="AN800" s="1" t="s">
        <v>675</v>
      </c>
      <c r="AO800" s="5" t="s">
        <v>765</v>
      </c>
      <c r="AP800" s="1">
        <v>1</v>
      </c>
      <c r="AQ800" s="2">
        <v>130000</v>
      </c>
      <c r="AR800" s="1">
        <v>5</v>
      </c>
      <c r="AS800" s="1">
        <v>3</v>
      </c>
      <c r="AT800" s="1">
        <v>2</v>
      </c>
      <c r="AU800" s="1">
        <v>8</v>
      </c>
      <c r="AV800" s="5" t="s">
        <v>771</v>
      </c>
      <c r="AW800" s="1" t="s">
        <v>37</v>
      </c>
      <c r="AX800" s="1" t="s">
        <v>37</v>
      </c>
    </row>
    <row r="801" spans="40:50" x14ac:dyDescent="0.25">
      <c r="AN801" s="1" t="s">
        <v>675</v>
      </c>
      <c r="AO801" s="5" t="s">
        <v>766</v>
      </c>
      <c r="AP801" s="1">
        <v>1</v>
      </c>
      <c r="AQ801" s="2">
        <v>160000</v>
      </c>
      <c r="AR801" s="1">
        <v>7</v>
      </c>
      <c r="AS801" s="1">
        <v>3</v>
      </c>
      <c r="AT801" s="1">
        <v>3</v>
      </c>
      <c r="AU801" s="1">
        <v>7</v>
      </c>
      <c r="AV801" s="5" t="s">
        <v>772</v>
      </c>
      <c r="AW801" s="1" t="s">
        <v>37</v>
      </c>
      <c r="AX801" s="1" t="s">
        <v>37</v>
      </c>
    </row>
    <row r="802" spans="40:50" x14ac:dyDescent="0.25">
      <c r="AN802" s="1" t="s">
        <v>675</v>
      </c>
      <c r="AO802" s="5" t="s">
        <v>114</v>
      </c>
      <c r="AP802" s="1">
        <v>1</v>
      </c>
      <c r="AQ802" s="2">
        <v>180000</v>
      </c>
      <c r="AR802" s="1">
        <v>8</v>
      </c>
      <c r="AS802" s="1">
        <v>3</v>
      </c>
      <c r="AT802" s="1">
        <v>3</v>
      </c>
      <c r="AU802" s="1">
        <v>7</v>
      </c>
      <c r="AV802" s="5" t="s">
        <v>488</v>
      </c>
      <c r="AW802" s="1" t="s">
        <v>37</v>
      </c>
      <c r="AX802" s="1" t="s">
        <v>37</v>
      </c>
    </row>
    <row r="803" spans="40:50" x14ac:dyDescent="0.25">
      <c r="AN803" s="1" t="s">
        <v>675</v>
      </c>
      <c r="AO803" s="5" t="s">
        <v>767</v>
      </c>
      <c r="AP803" s="1">
        <v>1</v>
      </c>
      <c r="AQ803" s="2">
        <v>190000</v>
      </c>
      <c r="AR803" s="1">
        <v>6</v>
      </c>
      <c r="AS803" s="1">
        <v>3</v>
      </c>
      <c r="AT803" s="1">
        <v>3</v>
      </c>
      <c r="AU803" s="1">
        <v>8</v>
      </c>
      <c r="AV803" s="5" t="s">
        <v>773</v>
      </c>
      <c r="AW803" s="1" t="s">
        <v>37</v>
      </c>
      <c r="AX803" s="1" t="s">
        <v>37</v>
      </c>
    </row>
    <row r="804" spans="40:50" x14ac:dyDescent="0.25">
      <c r="AN804" s="1" t="s">
        <v>675</v>
      </c>
      <c r="AO804" s="5" t="s">
        <v>292</v>
      </c>
      <c r="AP804" s="1">
        <v>1</v>
      </c>
      <c r="AQ804" s="2">
        <v>220000</v>
      </c>
      <c r="AR804" s="1">
        <v>6</v>
      </c>
      <c r="AS804" s="1">
        <v>4</v>
      </c>
      <c r="AT804" s="1">
        <v>2</v>
      </c>
      <c r="AU804" s="1">
        <v>8</v>
      </c>
      <c r="AV804" s="5" t="s">
        <v>556</v>
      </c>
      <c r="AW804" s="1" t="s">
        <v>37</v>
      </c>
      <c r="AX804" s="1" t="s">
        <v>37</v>
      </c>
    </row>
    <row r="805" spans="40:50" x14ac:dyDescent="0.25">
      <c r="AN805" s="1" t="s">
        <v>675</v>
      </c>
      <c r="AO805" s="5" t="s">
        <v>768</v>
      </c>
      <c r="AP805" s="1">
        <v>1</v>
      </c>
      <c r="AQ805" s="2">
        <v>230000</v>
      </c>
      <c r="AR805" s="1">
        <v>6</v>
      </c>
      <c r="AS805" s="1">
        <v>4</v>
      </c>
      <c r="AT805" s="1">
        <v>2</v>
      </c>
      <c r="AU805" s="1">
        <v>8</v>
      </c>
      <c r="AV805" s="5" t="s">
        <v>774</v>
      </c>
      <c r="AW805" s="1" t="s">
        <v>37</v>
      </c>
      <c r="AX805" s="1" t="s">
        <v>37</v>
      </c>
    </row>
    <row r="806" spans="40:50" x14ac:dyDescent="0.25">
      <c r="AN806" s="92" t="s">
        <v>675</v>
      </c>
      <c r="AO806" s="99" t="s">
        <v>693</v>
      </c>
      <c r="AP806" s="92">
        <v>1</v>
      </c>
      <c r="AQ806" s="100">
        <v>270000</v>
      </c>
      <c r="AR806" s="92">
        <v>4</v>
      </c>
      <c r="AS806" s="92">
        <v>5</v>
      </c>
      <c r="AT806" s="92">
        <v>1</v>
      </c>
      <c r="AU806" s="92">
        <v>9</v>
      </c>
      <c r="AV806" s="99" t="s">
        <v>761</v>
      </c>
      <c r="AW806" s="1" t="s">
        <v>37</v>
      </c>
      <c r="AX806" s="1" t="s">
        <v>37</v>
      </c>
    </row>
    <row r="807" spans="40:50" x14ac:dyDescent="0.25">
      <c r="AN807" s="1" t="s">
        <v>675</v>
      </c>
      <c r="AO807" s="5" t="s">
        <v>119</v>
      </c>
      <c r="AP807" s="1">
        <v>1</v>
      </c>
      <c r="AQ807" s="2">
        <v>360000</v>
      </c>
      <c r="AR807" s="1">
        <v>5</v>
      </c>
      <c r="AS807" s="1">
        <v>6</v>
      </c>
      <c r="AT807" s="1">
        <v>1</v>
      </c>
      <c r="AU807" s="1">
        <v>9</v>
      </c>
      <c r="AV807" s="5" t="s">
        <v>557</v>
      </c>
      <c r="AW807" s="1" t="s">
        <v>37</v>
      </c>
      <c r="AX807" s="1" t="s">
        <v>37</v>
      </c>
    </row>
    <row r="808" spans="40:50" x14ac:dyDescent="0.25">
      <c r="AN808" s="1" t="s">
        <v>675</v>
      </c>
      <c r="AO808" s="5" t="s">
        <v>780</v>
      </c>
      <c r="AP808" s="1">
        <v>1</v>
      </c>
      <c r="AQ808" s="2">
        <v>280000</v>
      </c>
      <c r="AR808" s="1">
        <v>7</v>
      </c>
      <c r="AS808" s="1">
        <v>3</v>
      </c>
      <c r="AT808" s="1">
        <v>4</v>
      </c>
      <c r="AU808" s="1">
        <v>8</v>
      </c>
      <c r="AV808" s="5" t="s">
        <v>781</v>
      </c>
      <c r="AW808" s="1" t="s">
        <v>37</v>
      </c>
      <c r="AX808" s="1" t="s">
        <v>37</v>
      </c>
    </row>
    <row r="809" spans="40:50" x14ac:dyDescent="0.25">
      <c r="AN809" s="1" t="s">
        <v>675</v>
      </c>
      <c r="AO809" s="99" t="s">
        <v>867</v>
      </c>
      <c r="AP809" s="92">
        <v>1</v>
      </c>
      <c r="AQ809" s="100">
        <v>380000</v>
      </c>
      <c r="AR809" s="92">
        <v>5</v>
      </c>
      <c r="AS809" s="92">
        <v>6</v>
      </c>
      <c r="AT809" s="92">
        <v>2</v>
      </c>
      <c r="AU809" s="92">
        <v>10</v>
      </c>
      <c r="AV809" s="99" t="s">
        <v>865</v>
      </c>
      <c r="AW809" s="1" t="s">
        <v>37</v>
      </c>
      <c r="AX809" s="1" t="s">
        <v>37</v>
      </c>
    </row>
    <row r="810" spans="40:50" x14ac:dyDescent="0.25">
      <c r="AN810" s="1" t="s">
        <v>675</v>
      </c>
      <c r="AO810" s="5" t="s">
        <v>447</v>
      </c>
      <c r="AP810" s="1">
        <v>1</v>
      </c>
      <c r="AQ810" s="2">
        <v>390000</v>
      </c>
      <c r="AR810" s="1">
        <v>6</v>
      </c>
      <c r="AS810" s="1">
        <v>5</v>
      </c>
      <c r="AT810" s="1">
        <v>4</v>
      </c>
      <c r="AU810" s="1">
        <v>9</v>
      </c>
      <c r="AV810" s="5" t="s">
        <v>561</v>
      </c>
      <c r="AW810" s="1" t="s">
        <v>37</v>
      </c>
      <c r="AX810" s="1" t="s">
        <v>37</v>
      </c>
    </row>
    <row r="811" spans="40:50" x14ac:dyDescent="0.25">
      <c r="AN811" s="1" t="s">
        <v>675</v>
      </c>
      <c r="AO811" s="99" t="s">
        <v>879</v>
      </c>
      <c r="AP811" s="92">
        <v>16</v>
      </c>
      <c r="AQ811" s="100">
        <v>400000</v>
      </c>
      <c r="AR811" s="92">
        <v>6</v>
      </c>
      <c r="AS811" s="92">
        <v>7</v>
      </c>
      <c r="AT811" s="92">
        <v>2</v>
      </c>
      <c r="AU811" s="92">
        <v>10</v>
      </c>
      <c r="AV811" s="99" t="s">
        <v>880</v>
      </c>
      <c r="AW811" s="1" t="s">
        <v>37</v>
      </c>
      <c r="AX811" s="1" t="s">
        <v>37</v>
      </c>
    </row>
    <row r="812" spans="40:50" x14ac:dyDescent="0.25">
      <c r="AN812" s="1" t="s">
        <v>365</v>
      </c>
      <c r="AO812" s="5"/>
      <c r="AP812" s="1"/>
      <c r="AQ812" s="2"/>
      <c r="AR812" s="1"/>
      <c r="AS812" s="1"/>
      <c r="AT812" s="1"/>
      <c r="AU812" s="1"/>
      <c r="AV812"/>
      <c r="AW812" s="1"/>
      <c r="AX812" s="1"/>
    </row>
    <row r="813" spans="40:50" x14ac:dyDescent="0.25">
      <c r="AN813" s="1" t="s">
        <v>365</v>
      </c>
      <c r="AO813" s="5" t="s">
        <v>370</v>
      </c>
      <c r="AP813" s="1">
        <v>16</v>
      </c>
      <c r="AQ813" s="2">
        <v>50000</v>
      </c>
      <c r="AR813" s="1">
        <v>6</v>
      </c>
      <c r="AS813" s="1">
        <v>3</v>
      </c>
      <c r="AT813" s="1">
        <v>3</v>
      </c>
      <c r="AU813" s="1">
        <v>7</v>
      </c>
      <c r="AV813" t="s">
        <v>476</v>
      </c>
      <c r="AW813" s="1" t="s">
        <v>22</v>
      </c>
      <c r="AX813" s="1" t="s">
        <v>636</v>
      </c>
    </row>
    <row r="814" spans="40:50" x14ac:dyDescent="0.25">
      <c r="AN814" s="1" t="s">
        <v>365</v>
      </c>
      <c r="AO814" s="5" t="s">
        <v>371</v>
      </c>
      <c r="AP814" s="1">
        <v>2</v>
      </c>
      <c r="AQ814" s="2">
        <v>70000</v>
      </c>
      <c r="AR814" s="1">
        <v>6</v>
      </c>
      <c r="AS814" s="1">
        <v>3</v>
      </c>
      <c r="AT814" s="1">
        <v>3</v>
      </c>
      <c r="AU814" s="1">
        <v>7</v>
      </c>
      <c r="AV814" t="s">
        <v>477</v>
      </c>
      <c r="AW814" s="1" t="s">
        <v>23</v>
      </c>
      <c r="AX814" s="1" t="s">
        <v>636</v>
      </c>
    </row>
    <row r="815" spans="40:50" x14ac:dyDescent="0.25">
      <c r="AN815" s="1" t="s">
        <v>365</v>
      </c>
      <c r="AO815" s="5" t="s">
        <v>398</v>
      </c>
      <c r="AP815" s="1">
        <v>2</v>
      </c>
      <c r="AQ815" s="2">
        <v>90000</v>
      </c>
      <c r="AR815" s="1">
        <v>7</v>
      </c>
      <c r="AS815" s="1">
        <v>3</v>
      </c>
      <c r="AT815" s="1">
        <v>3</v>
      </c>
      <c r="AU815" s="1">
        <v>7</v>
      </c>
      <c r="AV815" t="s">
        <v>498</v>
      </c>
      <c r="AW815" s="1" t="s">
        <v>24</v>
      </c>
      <c r="AX815" s="1" t="s">
        <v>634</v>
      </c>
    </row>
    <row r="816" spans="40:50" x14ac:dyDescent="0.25">
      <c r="AN816" s="1" t="s">
        <v>365</v>
      </c>
      <c r="AO816" s="5" t="s">
        <v>264</v>
      </c>
      <c r="AP816" s="1">
        <v>2</v>
      </c>
      <c r="AQ816" s="2">
        <v>90000</v>
      </c>
      <c r="AR816" s="1">
        <v>6</v>
      </c>
      <c r="AS816" s="1">
        <v>3</v>
      </c>
      <c r="AT816" s="1">
        <v>3</v>
      </c>
      <c r="AU816" s="1">
        <v>7</v>
      </c>
      <c r="AV816" t="s">
        <v>521</v>
      </c>
      <c r="AW816" s="1" t="s">
        <v>638</v>
      </c>
      <c r="AX816" s="1" t="s">
        <v>29</v>
      </c>
    </row>
    <row r="817" spans="40:50" x14ac:dyDescent="0.25">
      <c r="AN817" s="1" t="s">
        <v>365</v>
      </c>
      <c r="AO817" s="5" t="s">
        <v>194</v>
      </c>
      <c r="AP817" s="1">
        <v>2</v>
      </c>
      <c r="AQ817" s="2">
        <v>110000</v>
      </c>
      <c r="AR817" s="1">
        <v>6</v>
      </c>
      <c r="AS817" s="1">
        <v>4</v>
      </c>
      <c r="AT817" s="1">
        <v>2</v>
      </c>
      <c r="AU817" s="1">
        <v>8</v>
      </c>
      <c r="AV817" t="s">
        <v>517</v>
      </c>
      <c r="AW817" s="1" t="s">
        <v>638</v>
      </c>
      <c r="AX817" s="1" t="s">
        <v>29</v>
      </c>
    </row>
    <row r="818" spans="40:50" x14ac:dyDescent="0.25">
      <c r="AN818" s="1" t="s">
        <v>365</v>
      </c>
      <c r="AO818" s="5" t="s">
        <v>449</v>
      </c>
      <c r="AP818" s="1">
        <v>1</v>
      </c>
      <c r="AQ818" s="2">
        <v>140000</v>
      </c>
      <c r="AR818" s="1">
        <v>5</v>
      </c>
      <c r="AS818" s="1">
        <v>5</v>
      </c>
      <c r="AT818" s="1">
        <v>1</v>
      </c>
      <c r="AU818" s="1">
        <v>8</v>
      </c>
      <c r="AV818" t="s">
        <v>583</v>
      </c>
      <c r="AW818" s="1" t="s">
        <v>635</v>
      </c>
      <c r="AX818" s="1" t="s">
        <v>45</v>
      </c>
    </row>
    <row r="819" spans="40:50" x14ac:dyDescent="0.25">
      <c r="AN819" s="1" t="s">
        <v>365</v>
      </c>
      <c r="AO819" s="5" t="s">
        <v>380</v>
      </c>
      <c r="AP819" s="1">
        <v>11</v>
      </c>
      <c r="AQ819" s="2">
        <v>50000</v>
      </c>
      <c r="AR819" s="1">
        <v>6</v>
      </c>
      <c r="AS819" s="1">
        <v>3</v>
      </c>
      <c r="AT819" s="1">
        <v>3</v>
      </c>
      <c r="AU819" s="1">
        <v>7</v>
      </c>
      <c r="AV819" t="s">
        <v>479</v>
      </c>
      <c r="AW819" s="1" t="s">
        <v>22</v>
      </c>
      <c r="AX819" s="1" t="s">
        <v>636</v>
      </c>
    </row>
    <row r="820" spans="40:50" x14ac:dyDescent="0.25">
      <c r="AN820" s="1" t="s">
        <v>365</v>
      </c>
      <c r="AO820" s="5" t="s">
        <v>93</v>
      </c>
      <c r="AP820" s="1">
        <v>1</v>
      </c>
      <c r="AQ820" s="2">
        <v>60000</v>
      </c>
      <c r="AR820" s="1">
        <v>4</v>
      </c>
      <c r="AS820" s="1">
        <v>3</v>
      </c>
      <c r="AT820" s="1">
        <v>2</v>
      </c>
      <c r="AU820" s="1">
        <v>9</v>
      </c>
      <c r="AV820" s="5" t="s">
        <v>575</v>
      </c>
      <c r="AW820" s="1" t="s">
        <v>37</v>
      </c>
      <c r="AX820" s="1" t="s">
        <v>37</v>
      </c>
    </row>
    <row r="821" spans="40:50" x14ac:dyDescent="0.25">
      <c r="AN821" s="1" t="s">
        <v>365</v>
      </c>
      <c r="AO821" s="5" t="s">
        <v>30</v>
      </c>
      <c r="AP821" s="1">
        <v>1</v>
      </c>
      <c r="AQ821" s="2">
        <v>110000</v>
      </c>
      <c r="AR821" s="1">
        <v>6</v>
      </c>
      <c r="AS821" s="1">
        <v>3</v>
      </c>
      <c r="AT821" s="1">
        <v>3</v>
      </c>
      <c r="AU821" s="1">
        <v>8</v>
      </c>
      <c r="AV821" s="5" t="s">
        <v>516</v>
      </c>
      <c r="AW821" s="1" t="s">
        <v>37</v>
      </c>
      <c r="AX821" s="1" t="s">
        <v>37</v>
      </c>
    </row>
    <row r="822" spans="40:50" x14ac:dyDescent="0.25">
      <c r="AN822" s="1" t="s">
        <v>365</v>
      </c>
      <c r="AO822" s="5" t="s">
        <v>125</v>
      </c>
      <c r="AP822" s="1">
        <v>1</v>
      </c>
      <c r="AQ822" s="2">
        <v>220000</v>
      </c>
      <c r="AR822" s="1">
        <v>6</v>
      </c>
      <c r="AS822" s="1">
        <v>4</v>
      </c>
      <c r="AT822" s="1">
        <v>3</v>
      </c>
      <c r="AU822" s="1">
        <v>8</v>
      </c>
      <c r="AV822" s="5" t="s">
        <v>501</v>
      </c>
      <c r="AW822" s="1" t="s">
        <v>37</v>
      </c>
      <c r="AX822" s="1" t="s">
        <v>37</v>
      </c>
    </row>
    <row r="823" spans="40:50" x14ac:dyDescent="0.25">
      <c r="AN823" s="1" t="s">
        <v>365</v>
      </c>
      <c r="AO823" s="5" t="s">
        <v>294</v>
      </c>
      <c r="AP823" s="1">
        <v>1</v>
      </c>
      <c r="AQ823" s="2">
        <v>240000</v>
      </c>
      <c r="AR823" s="1">
        <v>8</v>
      </c>
      <c r="AS823" s="1">
        <v>4</v>
      </c>
      <c r="AT823" s="1">
        <v>3</v>
      </c>
      <c r="AU823" s="1">
        <v>8</v>
      </c>
      <c r="AV823" s="5" t="s">
        <v>566</v>
      </c>
      <c r="AW823" s="1" t="s">
        <v>37</v>
      </c>
      <c r="AX823" s="1" t="s">
        <v>37</v>
      </c>
    </row>
    <row r="824" spans="40:50" x14ac:dyDescent="0.25">
      <c r="AN824" s="1" t="s">
        <v>365</v>
      </c>
      <c r="AO824" s="99" t="s">
        <v>705</v>
      </c>
      <c r="AP824" s="1">
        <v>1</v>
      </c>
      <c r="AQ824" s="100">
        <v>250000</v>
      </c>
      <c r="AR824" s="1">
        <v>5</v>
      </c>
      <c r="AS824" s="1">
        <v>5</v>
      </c>
      <c r="AT824" s="1">
        <v>1</v>
      </c>
      <c r="AU824" s="1">
        <v>9</v>
      </c>
      <c r="AV824" s="99" t="s">
        <v>714</v>
      </c>
      <c r="AW824" s="1" t="s">
        <v>37</v>
      </c>
      <c r="AX824" s="1" t="s">
        <v>37</v>
      </c>
    </row>
    <row r="825" spans="40:50" x14ac:dyDescent="0.25">
      <c r="AN825" s="1" t="s">
        <v>365</v>
      </c>
      <c r="AO825" s="5" t="s">
        <v>376</v>
      </c>
      <c r="AP825" s="1">
        <v>1</v>
      </c>
      <c r="AQ825" s="2">
        <v>270000</v>
      </c>
      <c r="AR825" s="1">
        <v>6</v>
      </c>
      <c r="AS825" s="1">
        <v>4</v>
      </c>
      <c r="AT825" s="1">
        <v>3</v>
      </c>
      <c r="AU825" s="1">
        <v>8</v>
      </c>
      <c r="AV825" s="5" t="s">
        <v>502</v>
      </c>
      <c r="AW825" s="1" t="s">
        <v>37</v>
      </c>
      <c r="AX825" s="1" t="s">
        <v>37</v>
      </c>
    </row>
    <row r="826" spans="40:50" x14ac:dyDescent="0.25">
      <c r="AN826" s="1" t="s">
        <v>365</v>
      </c>
      <c r="AO826" s="5" t="s">
        <v>450</v>
      </c>
      <c r="AP826" s="1">
        <v>1</v>
      </c>
      <c r="AQ826" s="2">
        <v>330000</v>
      </c>
      <c r="AR826" s="1">
        <v>5</v>
      </c>
      <c r="AS826" s="1">
        <v>6</v>
      </c>
      <c r="AT826" s="1">
        <v>1</v>
      </c>
      <c r="AU826" s="1">
        <v>8</v>
      </c>
      <c r="AV826" s="5" t="s">
        <v>584</v>
      </c>
      <c r="AW826" s="1" t="s">
        <v>37</v>
      </c>
      <c r="AX826" s="1" t="s">
        <v>37</v>
      </c>
    </row>
    <row r="827" spans="40:50" x14ac:dyDescent="0.25">
      <c r="AN827" s="1" t="s">
        <v>365</v>
      </c>
      <c r="AO827" s="99" t="s">
        <v>867</v>
      </c>
      <c r="AP827" s="92">
        <v>1</v>
      </c>
      <c r="AQ827" s="100">
        <v>380000</v>
      </c>
      <c r="AR827" s="92">
        <v>5</v>
      </c>
      <c r="AS827" s="92">
        <v>6</v>
      </c>
      <c r="AT827" s="92">
        <v>2</v>
      </c>
      <c r="AU827" s="92">
        <v>10</v>
      </c>
      <c r="AV827" s="99" t="s">
        <v>865</v>
      </c>
      <c r="AW827" s="1" t="s">
        <v>37</v>
      </c>
      <c r="AX827" s="1" t="s">
        <v>37</v>
      </c>
    </row>
    <row r="828" spans="40:50" x14ac:dyDescent="0.25">
      <c r="AN828" s="1" t="s">
        <v>365</v>
      </c>
      <c r="AO828" s="99" t="s">
        <v>879</v>
      </c>
      <c r="AP828" s="92">
        <v>16</v>
      </c>
      <c r="AQ828" s="100">
        <v>400000</v>
      </c>
      <c r="AR828" s="92">
        <v>6</v>
      </c>
      <c r="AS828" s="92">
        <v>7</v>
      </c>
      <c r="AT828" s="92">
        <v>2</v>
      </c>
      <c r="AU828" s="92">
        <v>10</v>
      </c>
      <c r="AV828" s="99" t="s">
        <v>880</v>
      </c>
      <c r="AW828" s="1" t="s">
        <v>37</v>
      </c>
      <c r="AX828" s="1" t="s">
        <v>37</v>
      </c>
    </row>
    <row r="829" spans="40:50" x14ac:dyDescent="0.25">
      <c r="AN829" s="1" t="s">
        <v>365</v>
      </c>
      <c r="AO829" s="5" t="s">
        <v>35</v>
      </c>
      <c r="AP829" s="1">
        <v>1</v>
      </c>
      <c r="AQ829" s="2">
        <v>430000</v>
      </c>
      <c r="AR829" s="1">
        <v>6</v>
      </c>
      <c r="AS829" s="1">
        <v>6</v>
      </c>
      <c r="AT829" s="1">
        <v>3</v>
      </c>
      <c r="AU829" s="1">
        <v>10</v>
      </c>
      <c r="AV829" s="5" t="s">
        <v>513</v>
      </c>
      <c r="AW829" s="1" t="s">
        <v>37</v>
      </c>
      <c r="AX829" s="1" t="s">
        <v>37</v>
      </c>
    </row>
    <row r="830" spans="40:50" x14ac:dyDescent="0.25">
      <c r="AN830" s="1" t="s">
        <v>676</v>
      </c>
      <c r="AO830" s="5"/>
      <c r="AP830" s="1"/>
      <c r="AQ830" s="2"/>
      <c r="AR830" s="1"/>
      <c r="AS830" s="1"/>
      <c r="AT830" s="1"/>
      <c r="AU830" s="1"/>
      <c r="AV830"/>
      <c r="AW830" s="1"/>
      <c r="AX830" s="1"/>
    </row>
    <row r="831" spans="40:50" x14ac:dyDescent="0.25">
      <c r="AN831" s="1" t="s">
        <v>676</v>
      </c>
      <c r="AO831" s="5" t="s">
        <v>451</v>
      </c>
      <c r="AP831" s="1">
        <v>16</v>
      </c>
      <c r="AQ831" s="2">
        <v>40000</v>
      </c>
      <c r="AR831" s="1">
        <v>5</v>
      </c>
      <c r="AS831" s="1">
        <v>3</v>
      </c>
      <c r="AT831" s="1">
        <v>3</v>
      </c>
      <c r="AU831" s="1">
        <v>8</v>
      </c>
      <c r="AV831" t="s">
        <v>613</v>
      </c>
      <c r="AW831" s="1" t="s">
        <v>282</v>
      </c>
      <c r="AX831" s="1" t="s">
        <v>636</v>
      </c>
    </row>
    <row r="832" spans="40:50" x14ac:dyDescent="0.25">
      <c r="AN832" s="1" t="s">
        <v>676</v>
      </c>
      <c r="AO832" s="5" t="s">
        <v>197</v>
      </c>
      <c r="AP832" s="1">
        <v>4</v>
      </c>
      <c r="AQ832" s="2">
        <v>80000</v>
      </c>
      <c r="AR832" s="1">
        <v>6</v>
      </c>
      <c r="AS832" s="1">
        <v>3</v>
      </c>
      <c r="AT832" s="1">
        <v>3</v>
      </c>
      <c r="AU832" s="1">
        <v>8</v>
      </c>
      <c r="AV832" t="s">
        <v>614</v>
      </c>
      <c r="AW832" s="1" t="s">
        <v>639</v>
      </c>
      <c r="AX832" s="1" t="s">
        <v>29</v>
      </c>
    </row>
    <row r="833" spans="40:50" x14ac:dyDescent="0.25">
      <c r="AN833" s="1" t="s">
        <v>676</v>
      </c>
      <c r="AO833" s="5" t="s">
        <v>452</v>
      </c>
      <c r="AP833" s="1">
        <v>4</v>
      </c>
      <c r="AQ833" s="2">
        <v>110000</v>
      </c>
      <c r="AR833" s="1">
        <v>4</v>
      </c>
      <c r="AS833" s="1">
        <v>4</v>
      </c>
      <c r="AT833" s="1">
        <v>2</v>
      </c>
      <c r="AU833" s="1">
        <v>9</v>
      </c>
      <c r="AV833" t="s">
        <v>617</v>
      </c>
      <c r="AW833" s="1" t="s">
        <v>639</v>
      </c>
      <c r="AX833" s="1" t="s">
        <v>29</v>
      </c>
    </row>
    <row r="834" spans="40:50" x14ac:dyDescent="0.25">
      <c r="AN834" s="1" t="s">
        <v>676</v>
      </c>
      <c r="AO834" s="5" t="s">
        <v>453</v>
      </c>
      <c r="AP834" s="1">
        <v>1</v>
      </c>
      <c r="AQ834" s="2">
        <v>140000</v>
      </c>
      <c r="AR834" s="1">
        <v>4</v>
      </c>
      <c r="AS834" s="1">
        <v>5</v>
      </c>
      <c r="AT834" s="1">
        <v>1</v>
      </c>
      <c r="AU834" s="1">
        <v>9</v>
      </c>
      <c r="AV834" t="s">
        <v>618</v>
      </c>
      <c r="AW834" s="1" t="s">
        <v>635</v>
      </c>
      <c r="AX834" s="1" t="s">
        <v>62</v>
      </c>
    </row>
    <row r="835" spans="40:50" x14ac:dyDescent="0.25">
      <c r="AN835" s="1" t="s">
        <v>676</v>
      </c>
      <c r="AO835" s="5" t="s">
        <v>380</v>
      </c>
      <c r="AP835" s="1">
        <v>11</v>
      </c>
      <c r="AQ835" s="2">
        <v>40000</v>
      </c>
      <c r="AR835" s="1">
        <v>5</v>
      </c>
      <c r="AS835" s="1">
        <v>3</v>
      </c>
      <c r="AT835" s="1">
        <v>3</v>
      </c>
      <c r="AU835" s="1">
        <v>8</v>
      </c>
      <c r="AV835" t="s">
        <v>615</v>
      </c>
      <c r="AW835" s="1" t="s">
        <v>282</v>
      </c>
      <c r="AX835" s="1" t="s">
        <v>636</v>
      </c>
    </row>
    <row r="836" spans="40:50" x14ac:dyDescent="0.25">
      <c r="AN836" s="1" t="s">
        <v>265</v>
      </c>
      <c r="AO836" s="5" t="s">
        <v>745</v>
      </c>
      <c r="AP836" s="1">
        <v>1</v>
      </c>
      <c r="AQ836" s="2">
        <v>110000</v>
      </c>
      <c r="AR836" s="1">
        <v>3</v>
      </c>
      <c r="AS836" s="1">
        <v>7</v>
      </c>
      <c r="AT836" s="1">
        <v>2</v>
      </c>
      <c r="AU836" s="1">
        <v>9</v>
      </c>
      <c r="AV836" t="s">
        <v>749</v>
      </c>
      <c r="AW836" s="1" t="s">
        <v>37</v>
      </c>
      <c r="AX836" s="1" t="s">
        <v>37</v>
      </c>
    </row>
    <row r="837" spans="40:50" x14ac:dyDescent="0.25">
      <c r="AN837" s="1" t="s">
        <v>676</v>
      </c>
      <c r="AO837" s="5" t="s">
        <v>390</v>
      </c>
      <c r="AP837" s="1">
        <v>1</v>
      </c>
      <c r="AQ837" s="2">
        <v>130000</v>
      </c>
      <c r="AR837" s="1">
        <v>5</v>
      </c>
      <c r="AS837" s="1">
        <v>4</v>
      </c>
      <c r="AT837" s="1">
        <v>3</v>
      </c>
      <c r="AU837" s="1">
        <v>8</v>
      </c>
      <c r="AV837" s="5" t="s">
        <v>514</v>
      </c>
      <c r="AW837" s="1" t="s">
        <v>37</v>
      </c>
      <c r="AX837" s="1" t="s">
        <v>37</v>
      </c>
    </row>
    <row r="838" spans="40:50" x14ac:dyDescent="0.25">
      <c r="AN838" s="1" t="s">
        <v>676</v>
      </c>
      <c r="AO838" s="5" t="s">
        <v>391</v>
      </c>
      <c r="AP838" s="1">
        <v>1</v>
      </c>
      <c r="AQ838" s="2">
        <v>160000</v>
      </c>
      <c r="AR838" s="1">
        <v>6</v>
      </c>
      <c r="AS838" s="1">
        <v>3</v>
      </c>
      <c r="AT838" s="1">
        <v>3</v>
      </c>
      <c r="AU838" s="1">
        <v>9</v>
      </c>
      <c r="AV838" s="5" t="s">
        <v>709</v>
      </c>
      <c r="AW838" s="1" t="s">
        <v>37</v>
      </c>
      <c r="AX838" s="1" t="s">
        <v>37</v>
      </c>
    </row>
    <row r="839" spans="40:50" x14ac:dyDescent="0.25">
      <c r="AN839" s="1" t="s">
        <v>676</v>
      </c>
      <c r="AO839" s="99" t="s">
        <v>710</v>
      </c>
      <c r="AP839" s="1">
        <v>1</v>
      </c>
      <c r="AQ839" s="100">
        <v>170000</v>
      </c>
      <c r="AR839" s="1">
        <v>6</v>
      </c>
      <c r="AS839" s="1">
        <v>3</v>
      </c>
      <c r="AT839" s="1">
        <v>3</v>
      </c>
      <c r="AU839" s="1">
        <v>8</v>
      </c>
      <c r="AV839" s="99" t="s">
        <v>711</v>
      </c>
      <c r="AW839" s="1" t="s">
        <v>37</v>
      </c>
      <c r="AX839" s="1" t="s">
        <v>37</v>
      </c>
    </row>
    <row r="840" spans="40:50" x14ac:dyDescent="0.25">
      <c r="AN840" s="1" t="s">
        <v>676</v>
      </c>
      <c r="AO840" s="99" t="s">
        <v>699</v>
      </c>
      <c r="AP840" s="92">
        <v>1</v>
      </c>
      <c r="AQ840" s="100">
        <v>180000</v>
      </c>
      <c r="AR840" s="92">
        <v>4</v>
      </c>
      <c r="AS840" s="92">
        <v>5</v>
      </c>
      <c r="AT840" s="92">
        <v>2</v>
      </c>
      <c r="AU840" s="92">
        <v>9</v>
      </c>
      <c r="AV840" s="99" t="s">
        <v>712</v>
      </c>
      <c r="AW840" s="1" t="s">
        <v>37</v>
      </c>
      <c r="AX840" s="1" t="s">
        <v>37</v>
      </c>
    </row>
    <row r="841" spans="40:50" x14ac:dyDescent="0.25">
      <c r="AN841" s="1" t="s">
        <v>676</v>
      </c>
      <c r="AO841" s="5" t="s">
        <v>454</v>
      </c>
      <c r="AP841" s="1">
        <v>1</v>
      </c>
      <c r="AQ841" s="2">
        <v>210000</v>
      </c>
      <c r="AR841" s="1">
        <v>5</v>
      </c>
      <c r="AS841" s="1">
        <v>3</v>
      </c>
      <c r="AT841" s="1">
        <v>4</v>
      </c>
      <c r="AU841" s="1">
        <v>9</v>
      </c>
      <c r="AV841" s="5" t="s">
        <v>619</v>
      </c>
      <c r="AW841" s="1" t="s">
        <v>37</v>
      </c>
      <c r="AX841" s="1" t="s">
        <v>37</v>
      </c>
    </row>
    <row r="842" spans="40:50" x14ac:dyDescent="0.25">
      <c r="AN842" s="1" t="s">
        <v>265</v>
      </c>
      <c r="AO842" s="5" t="s">
        <v>747</v>
      </c>
      <c r="AP842" s="1">
        <v>1</v>
      </c>
      <c r="AQ842" s="2">
        <v>230000</v>
      </c>
      <c r="AR842" s="1">
        <v>6</v>
      </c>
      <c r="AS842" s="1">
        <v>3</v>
      </c>
      <c r="AT842" s="1">
        <v>3</v>
      </c>
      <c r="AU842" s="1">
        <v>8</v>
      </c>
      <c r="AV842" t="s">
        <v>748</v>
      </c>
      <c r="AW842" s="1" t="s">
        <v>37</v>
      </c>
      <c r="AX842" s="1" t="s">
        <v>37</v>
      </c>
    </row>
    <row r="843" spans="40:50" x14ac:dyDescent="0.25">
      <c r="AN843" s="1" t="s">
        <v>676</v>
      </c>
      <c r="AO843" s="5" t="s">
        <v>49</v>
      </c>
      <c r="AP843" s="1">
        <v>1</v>
      </c>
      <c r="AQ843" s="2">
        <v>290000</v>
      </c>
      <c r="AR843" s="1">
        <v>5</v>
      </c>
      <c r="AS843" s="1">
        <v>5</v>
      </c>
      <c r="AT843" s="1">
        <v>2</v>
      </c>
      <c r="AU843" s="1">
        <v>9</v>
      </c>
      <c r="AV843" s="5" t="s">
        <v>525</v>
      </c>
      <c r="AW843" s="1" t="s">
        <v>37</v>
      </c>
      <c r="AX843" s="1" t="s">
        <v>37</v>
      </c>
    </row>
    <row r="844" spans="40:50" x14ac:dyDescent="0.25">
      <c r="AN844" s="1" t="s">
        <v>676</v>
      </c>
      <c r="AO844" s="5" t="s">
        <v>50</v>
      </c>
      <c r="AP844" s="1">
        <v>1</v>
      </c>
      <c r="AQ844" s="2" t="s">
        <v>37</v>
      </c>
      <c r="AR844" s="1">
        <v>6</v>
      </c>
      <c r="AS844" s="1">
        <v>2</v>
      </c>
      <c r="AT844" s="1">
        <v>4</v>
      </c>
      <c r="AU844" s="1">
        <v>7</v>
      </c>
      <c r="AV844" s="5" t="s">
        <v>537</v>
      </c>
      <c r="AW844" s="1" t="s">
        <v>37</v>
      </c>
      <c r="AX844" s="1" t="s">
        <v>37</v>
      </c>
    </row>
    <row r="845" spans="40:50" x14ac:dyDescent="0.25">
      <c r="AN845" s="1" t="s">
        <v>676</v>
      </c>
      <c r="AO845" s="5" t="s">
        <v>392</v>
      </c>
      <c r="AP845" s="1">
        <v>1</v>
      </c>
      <c r="AQ845" s="2">
        <v>300000</v>
      </c>
      <c r="AR845" s="1">
        <v>5</v>
      </c>
      <c r="AS845" s="1">
        <v>5</v>
      </c>
      <c r="AT845" s="1">
        <v>3</v>
      </c>
      <c r="AU845" s="1">
        <v>9</v>
      </c>
      <c r="AV845" s="5" t="s">
        <v>545</v>
      </c>
      <c r="AW845" s="1" t="s">
        <v>37</v>
      </c>
      <c r="AX845" s="1" t="s">
        <v>37</v>
      </c>
    </row>
    <row r="846" spans="40:50" x14ac:dyDescent="0.25">
      <c r="AN846" s="1" t="s">
        <v>676</v>
      </c>
      <c r="AO846" s="5" t="s">
        <v>393</v>
      </c>
      <c r="AP846" s="1">
        <v>1</v>
      </c>
      <c r="AQ846" s="2">
        <v>310000</v>
      </c>
      <c r="AR846" s="1">
        <v>6</v>
      </c>
      <c r="AS846" s="1">
        <v>6</v>
      </c>
      <c r="AT846" s="1">
        <v>2</v>
      </c>
      <c r="AU846" s="1">
        <v>8</v>
      </c>
      <c r="AV846" s="5" t="s">
        <v>534</v>
      </c>
      <c r="AW846" s="1" t="s">
        <v>37</v>
      </c>
      <c r="AX846" s="1" t="s">
        <v>37</v>
      </c>
    </row>
    <row r="847" spans="40:50" x14ac:dyDescent="0.25">
      <c r="AN847" s="1" t="s">
        <v>676</v>
      </c>
      <c r="AO847" s="99" t="s">
        <v>867</v>
      </c>
      <c r="AP847" s="92">
        <v>1</v>
      </c>
      <c r="AQ847" s="100">
        <v>380000</v>
      </c>
      <c r="AR847" s="92">
        <v>5</v>
      </c>
      <c r="AS847" s="92">
        <v>6</v>
      </c>
      <c r="AT847" s="92">
        <v>2</v>
      </c>
      <c r="AU847" s="92">
        <v>10</v>
      </c>
      <c r="AV847" s="99" t="s">
        <v>865</v>
      </c>
      <c r="AW847" s="1" t="s">
        <v>37</v>
      </c>
      <c r="AX847" s="1" t="s">
        <v>37</v>
      </c>
    </row>
    <row r="848" spans="40:50" x14ac:dyDescent="0.25">
      <c r="AN848" s="1" t="s">
        <v>676</v>
      </c>
      <c r="AO848" s="99" t="s">
        <v>879</v>
      </c>
      <c r="AP848" s="92">
        <v>16</v>
      </c>
      <c r="AQ848" s="100">
        <v>400000</v>
      </c>
      <c r="AR848" s="92">
        <v>6</v>
      </c>
      <c r="AS848" s="92">
        <v>7</v>
      </c>
      <c r="AT848" s="92">
        <v>2</v>
      </c>
      <c r="AU848" s="92">
        <v>10</v>
      </c>
      <c r="AV848" s="99" t="s">
        <v>880</v>
      </c>
      <c r="AW848" s="1" t="s">
        <v>37</v>
      </c>
      <c r="AX848" s="1" t="s">
        <v>37</v>
      </c>
    </row>
    <row r="849" spans="40:50" x14ac:dyDescent="0.25">
      <c r="AN849" s="1" t="s">
        <v>676</v>
      </c>
      <c r="AO849" s="5" t="s">
        <v>35</v>
      </c>
      <c r="AP849" s="1">
        <v>1</v>
      </c>
      <c r="AQ849" s="2">
        <v>430000</v>
      </c>
      <c r="AR849" s="1">
        <v>6</v>
      </c>
      <c r="AS849" s="1">
        <v>6</v>
      </c>
      <c r="AT849" s="1">
        <v>3</v>
      </c>
      <c r="AU849" s="1">
        <v>10</v>
      </c>
      <c r="AV849" s="5" t="s">
        <v>513</v>
      </c>
      <c r="AW849" s="1" t="s">
        <v>37</v>
      </c>
      <c r="AX849" s="1" t="s">
        <v>37</v>
      </c>
    </row>
    <row r="850" spans="40:50" x14ac:dyDescent="0.25">
      <c r="AN850" s="1" t="s">
        <v>366</v>
      </c>
      <c r="AO850" s="5"/>
      <c r="AP850" s="1"/>
      <c r="AQ850" s="2"/>
      <c r="AR850" s="1"/>
      <c r="AS850" s="1"/>
      <c r="AT850" s="1"/>
      <c r="AU850" s="1"/>
      <c r="AV850"/>
      <c r="AW850" s="1"/>
      <c r="AX850" s="1"/>
    </row>
    <row r="851" spans="40:50" x14ac:dyDescent="0.25">
      <c r="AN851" s="1" t="s">
        <v>366</v>
      </c>
      <c r="AO851" s="5" t="s">
        <v>883</v>
      </c>
      <c r="AP851" s="1">
        <v>16</v>
      </c>
      <c r="AQ851" s="2">
        <v>20000</v>
      </c>
      <c r="AR851" s="1">
        <v>5</v>
      </c>
      <c r="AS851" s="1">
        <v>1</v>
      </c>
      <c r="AT851" s="1">
        <v>3</v>
      </c>
      <c r="AU851" s="1">
        <v>5</v>
      </c>
      <c r="AV851" t="s">
        <v>866</v>
      </c>
      <c r="AW851" s="1" t="s">
        <v>85</v>
      </c>
      <c r="AX851" s="1" t="s">
        <v>642</v>
      </c>
    </row>
    <row r="852" spans="40:50" x14ac:dyDescent="0.25">
      <c r="AN852" s="1" t="s">
        <v>366</v>
      </c>
      <c r="AO852" s="5" t="s">
        <v>432</v>
      </c>
      <c r="AP852" s="1">
        <v>5</v>
      </c>
      <c r="AQ852" s="2">
        <v>140000</v>
      </c>
      <c r="AR852" s="1">
        <v>5</v>
      </c>
      <c r="AS852" s="1">
        <v>5</v>
      </c>
      <c r="AT852" s="1">
        <v>2</v>
      </c>
      <c r="AU852" s="1">
        <v>9</v>
      </c>
      <c r="AV852" t="s">
        <v>527</v>
      </c>
      <c r="AW852" s="1" t="s">
        <v>635</v>
      </c>
      <c r="AX852" s="1" t="s">
        <v>45</v>
      </c>
    </row>
    <row r="853" spans="40:50" x14ac:dyDescent="0.25">
      <c r="AN853" s="1" t="s">
        <v>366</v>
      </c>
      <c r="AO853" s="99" t="s">
        <v>863</v>
      </c>
      <c r="AP853" s="92">
        <v>1</v>
      </c>
      <c r="AQ853" s="100">
        <v>150000</v>
      </c>
      <c r="AR853" s="1">
        <v>5</v>
      </c>
      <c r="AS853" s="1">
        <v>5</v>
      </c>
      <c r="AT853" s="1">
        <v>2</v>
      </c>
      <c r="AU853" s="1">
        <v>9</v>
      </c>
      <c r="AV853" t="s">
        <v>862</v>
      </c>
      <c r="AW853" s="1" t="s">
        <v>635</v>
      </c>
      <c r="AX853" s="1" t="s">
        <v>45</v>
      </c>
    </row>
    <row r="854" spans="40:50" x14ac:dyDescent="0.25">
      <c r="AN854" s="1" t="s">
        <v>366</v>
      </c>
      <c r="AO854" s="5" t="s">
        <v>380</v>
      </c>
      <c r="AP854" s="1">
        <v>11</v>
      </c>
      <c r="AQ854" s="2">
        <v>20000</v>
      </c>
      <c r="AR854" s="1">
        <v>5</v>
      </c>
      <c r="AS854" s="1">
        <v>1</v>
      </c>
      <c r="AT854" s="1">
        <v>3</v>
      </c>
      <c r="AU854" s="1">
        <v>5</v>
      </c>
      <c r="AV854" t="s">
        <v>882</v>
      </c>
      <c r="AW854" s="1" t="s">
        <v>85</v>
      </c>
      <c r="AX854" s="1" t="s">
        <v>642</v>
      </c>
    </row>
    <row r="855" spans="40:50" x14ac:dyDescent="0.25">
      <c r="AN855" s="1" t="s">
        <v>366</v>
      </c>
      <c r="AO855" s="5" t="s">
        <v>422</v>
      </c>
      <c r="AP855" s="1">
        <v>1</v>
      </c>
      <c r="AQ855" s="2">
        <v>60000</v>
      </c>
      <c r="AR855" s="1">
        <v>6</v>
      </c>
      <c r="AS855" s="1">
        <v>2</v>
      </c>
      <c r="AT855" s="1">
        <v>3</v>
      </c>
      <c r="AU855" s="1">
        <v>7</v>
      </c>
      <c r="AV855" s="5" t="s">
        <v>577</v>
      </c>
      <c r="AW855" s="1" t="s">
        <v>37</v>
      </c>
      <c r="AX855" s="1" t="s">
        <v>37</v>
      </c>
    </row>
    <row r="856" spans="40:50" x14ac:dyDescent="0.25">
      <c r="AN856" s="1" t="s">
        <v>366</v>
      </c>
      <c r="AO856" s="5" t="s">
        <v>797</v>
      </c>
      <c r="AP856" s="1">
        <v>1</v>
      </c>
      <c r="AQ856" s="2">
        <v>120000</v>
      </c>
      <c r="AR856" s="1">
        <v>4</v>
      </c>
      <c r="AS856" s="1">
        <v>3</v>
      </c>
      <c r="AT856" s="1">
        <v>2</v>
      </c>
      <c r="AU856" s="1">
        <v>8</v>
      </c>
      <c r="AV856" t="s">
        <v>801</v>
      </c>
      <c r="AW856" s="1" t="s">
        <v>37</v>
      </c>
      <c r="AX856" s="1" t="s">
        <v>37</v>
      </c>
    </row>
    <row r="857" spans="40:50" x14ac:dyDescent="0.25">
      <c r="AN857" s="1" t="s">
        <v>366</v>
      </c>
      <c r="AO857" s="5" t="s">
        <v>413</v>
      </c>
      <c r="AP857" s="1">
        <v>1</v>
      </c>
      <c r="AQ857" s="2">
        <v>130000</v>
      </c>
      <c r="AR857" s="1">
        <v>6</v>
      </c>
      <c r="AS857" s="1">
        <v>2</v>
      </c>
      <c r="AT857" s="1">
        <v>3</v>
      </c>
      <c r="AU857" s="1">
        <v>7</v>
      </c>
      <c r="AV857" s="5" t="s">
        <v>538</v>
      </c>
      <c r="AW857" s="1" t="s">
        <v>37</v>
      </c>
      <c r="AX857" s="1" t="s">
        <v>37</v>
      </c>
    </row>
    <row r="858" spans="40:50" x14ac:dyDescent="0.25">
      <c r="AN858" s="1" t="s">
        <v>366</v>
      </c>
      <c r="AO858" s="5" t="s">
        <v>424</v>
      </c>
      <c r="AP858" s="1">
        <v>1</v>
      </c>
      <c r="AQ858" s="2">
        <v>150000</v>
      </c>
      <c r="AR858" s="1">
        <v>7</v>
      </c>
      <c r="AS858" s="1">
        <v>2</v>
      </c>
      <c r="AT858" s="1">
        <v>3</v>
      </c>
      <c r="AU858" s="1">
        <v>7</v>
      </c>
      <c r="AV858" s="5" t="s">
        <v>621</v>
      </c>
      <c r="AW858" s="1" t="s">
        <v>37</v>
      </c>
      <c r="AX858" s="1" t="s">
        <v>37</v>
      </c>
    </row>
    <row r="859" spans="40:50" x14ac:dyDescent="0.25">
      <c r="AN859" s="1" t="s">
        <v>366</v>
      </c>
      <c r="AO859" s="5" t="s">
        <v>384</v>
      </c>
      <c r="AP859" s="1">
        <v>1</v>
      </c>
      <c r="AQ859" s="2">
        <v>290000</v>
      </c>
      <c r="AR859" s="1">
        <v>6</v>
      </c>
      <c r="AS859" s="1">
        <v>5</v>
      </c>
      <c r="AT859" s="1">
        <v>2</v>
      </c>
      <c r="AU859" s="1">
        <v>9</v>
      </c>
      <c r="AV859" s="5" t="s">
        <v>528</v>
      </c>
      <c r="AW859" s="1" t="s">
        <v>37</v>
      </c>
      <c r="AX859" s="1" t="s">
        <v>37</v>
      </c>
    </row>
    <row r="860" spans="40:50" x14ac:dyDescent="0.25">
      <c r="AN860" s="1" t="s">
        <v>366</v>
      </c>
      <c r="AO860" s="5" t="s">
        <v>49</v>
      </c>
      <c r="AP860" s="1">
        <v>1</v>
      </c>
      <c r="AQ860" s="2">
        <v>290000</v>
      </c>
      <c r="AR860" s="1">
        <v>5</v>
      </c>
      <c r="AS860" s="1">
        <v>5</v>
      </c>
      <c r="AT860" s="1">
        <v>2</v>
      </c>
      <c r="AU860" s="1">
        <v>9</v>
      </c>
      <c r="AV860" s="5" t="s">
        <v>525</v>
      </c>
      <c r="AW860" s="1" t="s">
        <v>37</v>
      </c>
      <c r="AX860" s="1" t="s">
        <v>37</v>
      </c>
    </row>
    <row r="861" spans="40:50" x14ac:dyDescent="0.25">
      <c r="AN861" s="1" t="s">
        <v>366</v>
      </c>
      <c r="AO861" s="5" t="s">
        <v>50</v>
      </c>
      <c r="AP861" s="1">
        <v>1</v>
      </c>
      <c r="AQ861" s="2" t="s">
        <v>37</v>
      </c>
      <c r="AR861" s="1">
        <v>6</v>
      </c>
      <c r="AS861" s="1">
        <v>2</v>
      </c>
      <c r="AT861" s="1">
        <v>4</v>
      </c>
      <c r="AU861" s="1">
        <v>7</v>
      </c>
      <c r="AV861" s="5" t="s">
        <v>537</v>
      </c>
      <c r="AW861" s="1" t="s">
        <v>37</v>
      </c>
      <c r="AX861" s="1" t="s">
        <v>37</v>
      </c>
    </row>
    <row r="862" spans="40:50" x14ac:dyDescent="0.25">
      <c r="AN862" s="1" t="s">
        <v>366</v>
      </c>
      <c r="AO862" s="99" t="s">
        <v>867</v>
      </c>
      <c r="AP862" s="92">
        <v>1</v>
      </c>
      <c r="AQ862" s="100">
        <v>380000</v>
      </c>
      <c r="AR862" s="92">
        <v>5</v>
      </c>
      <c r="AS862" s="92">
        <v>6</v>
      </c>
      <c r="AT862" s="92">
        <v>2</v>
      </c>
      <c r="AU862" s="92">
        <v>10</v>
      </c>
      <c r="AV862" s="99" t="s">
        <v>865</v>
      </c>
      <c r="AW862" s="1" t="s">
        <v>37</v>
      </c>
      <c r="AX862" s="1" t="s">
        <v>37</v>
      </c>
    </row>
    <row r="863" spans="40:50" x14ac:dyDescent="0.25">
      <c r="AN863" s="1" t="s">
        <v>366</v>
      </c>
      <c r="AO863" s="99" t="s">
        <v>879</v>
      </c>
      <c r="AP863" s="92">
        <v>16</v>
      </c>
      <c r="AQ863" s="100">
        <v>400000</v>
      </c>
      <c r="AR863" s="92">
        <v>6</v>
      </c>
      <c r="AS863" s="92">
        <v>7</v>
      </c>
      <c r="AT863" s="92">
        <v>2</v>
      </c>
      <c r="AU863" s="92">
        <v>10</v>
      </c>
      <c r="AV863" s="99" t="s">
        <v>880</v>
      </c>
      <c r="AW863" s="1" t="s">
        <v>37</v>
      </c>
      <c r="AX863" s="1" t="s">
        <v>37</v>
      </c>
    </row>
    <row r="864" spans="40:50" x14ac:dyDescent="0.25">
      <c r="AN864" s="1" t="s">
        <v>366</v>
      </c>
      <c r="AO864" s="5" t="s">
        <v>35</v>
      </c>
      <c r="AP864" s="1">
        <v>1</v>
      </c>
      <c r="AQ864" s="2">
        <v>430000</v>
      </c>
      <c r="AR864" s="1">
        <v>6</v>
      </c>
      <c r="AS864" s="1">
        <v>6</v>
      </c>
      <c r="AT864" s="1">
        <v>3</v>
      </c>
      <c r="AU864" s="1">
        <v>10</v>
      </c>
      <c r="AV864" s="5" t="s">
        <v>513</v>
      </c>
      <c r="AW864" s="1" t="s">
        <v>37</v>
      </c>
      <c r="AX864" s="1" t="s">
        <v>37</v>
      </c>
    </row>
    <row r="865" spans="40:50" x14ac:dyDescent="0.25">
      <c r="AN865" s="1" t="s">
        <v>367</v>
      </c>
      <c r="AO865" s="5"/>
      <c r="AP865" s="1"/>
      <c r="AQ865" s="2"/>
      <c r="AR865" s="1"/>
      <c r="AS865" s="1"/>
      <c r="AT865" s="1"/>
      <c r="AU865" s="1"/>
      <c r="AV865"/>
      <c r="AW865" s="1"/>
      <c r="AX865" s="1"/>
    </row>
    <row r="866" spans="40:50" x14ac:dyDescent="0.25">
      <c r="AN866" s="1" t="s">
        <v>367</v>
      </c>
      <c r="AO866" s="5" t="s">
        <v>370</v>
      </c>
      <c r="AP866" s="1">
        <v>16</v>
      </c>
      <c r="AQ866" s="2">
        <v>50000</v>
      </c>
      <c r="AR866" s="1">
        <v>5</v>
      </c>
      <c r="AS866" s="1">
        <v>3</v>
      </c>
      <c r="AT866" s="1">
        <v>3</v>
      </c>
      <c r="AU866" s="1">
        <v>9</v>
      </c>
      <c r="AV866" t="s">
        <v>647</v>
      </c>
      <c r="AW866" s="1" t="s">
        <v>22</v>
      </c>
      <c r="AX866" s="1" t="s">
        <v>636</v>
      </c>
    </row>
    <row r="867" spans="40:50" x14ac:dyDescent="0.25">
      <c r="AN867" s="1" t="s">
        <v>367</v>
      </c>
      <c r="AO867" s="5" t="s">
        <v>201</v>
      </c>
      <c r="AP867" s="1">
        <v>4</v>
      </c>
      <c r="AQ867" s="2">
        <v>40000</v>
      </c>
      <c r="AR867" s="1">
        <v>6</v>
      </c>
      <c r="AS867" s="1">
        <v>2</v>
      </c>
      <c r="AT867" s="1">
        <v>3</v>
      </c>
      <c r="AU867" s="1">
        <v>7</v>
      </c>
      <c r="AV867" t="s">
        <v>539</v>
      </c>
      <c r="AW867" s="1" t="s">
        <v>85</v>
      </c>
      <c r="AX867" s="1" t="s">
        <v>642</v>
      </c>
    </row>
    <row r="868" spans="40:50" x14ac:dyDescent="0.25">
      <c r="AN868" s="1" t="s">
        <v>367</v>
      </c>
      <c r="AO868" s="5" t="s">
        <v>371</v>
      </c>
      <c r="AP868" s="1">
        <v>2</v>
      </c>
      <c r="AQ868" s="2">
        <v>70000</v>
      </c>
      <c r="AR868" s="1">
        <v>5</v>
      </c>
      <c r="AS868" s="1">
        <v>3</v>
      </c>
      <c r="AT868" s="1">
        <v>3</v>
      </c>
      <c r="AU868" s="1">
        <v>8</v>
      </c>
      <c r="AV868" t="s">
        <v>493</v>
      </c>
      <c r="AW868" s="1" t="s">
        <v>23</v>
      </c>
      <c r="AX868" s="1" t="s">
        <v>636</v>
      </c>
    </row>
    <row r="869" spans="40:50" x14ac:dyDescent="0.25">
      <c r="AN869" s="1" t="s">
        <v>367</v>
      </c>
      <c r="AO869" s="5" t="s">
        <v>455</v>
      </c>
      <c r="AP869" s="1">
        <v>4</v>
      </c>
      <c r="AQ869" s="2">
        <v>80000</v>
      </c>
      <c r="AR869" s="1">
        <v>4</v>
      </c>
      <c r="AS869" s="1">
        <v>4</v>
      </c>
      <c r="AT869" s="1">
        <v>2</v>
      </c>
      <c r="AU869" s="1">
        <v>9</v>
      </c>
      <c r="AV869" t="s">
        <v>647</v>
      </c>
      <c r="AW869" s="1" t="s">
        <v>638</v>
      </c>
      <c r="AX869" s="1" t="s">
        <v>29</v>
      </c>
    </row>
    <row r="870" spans="40:50" x14ac:dyDescent="0.25">
      <c r="AN870" s="1" t="s">
        <v>367</v>
      </c>
      <c r="AO870" s="5" t="s">
        <v>5</v>
      </c>
      <c r="AP870" s="1">
        <v>4</v>
      </c>
      <c r="AQ870" s="2">
        <v>80000</v>
      </c>
      <c r="AR870" s="1">
        <v>6</v>
      </c>
      <c r="AS870" s="1">
        <v>3</v>
      </c>
      <c r="AT870" s="1">
        <v>3</v>
      </c>
      <c r="AU870" s="1">
        <v>9</v>
      </c>
      <c r="AV870" t="s">
        <v>476</v>
      </c>
      <c r="AW870" s="1" t="s">
        <v>638</v>
      </c>
      <c r="AX870" s="1" t="s">
        <v>29</v>
      </c>
    </row>
    <row r="871" spans="40:50" x14ac:dyDescent="0.25">
      <c r="AN871" s="1" t="s">
        <v>367</v>
      </c>
      <c r="AO871" s="5" t="s">
        <v>203</v>
      </c>
      <c r="AP871" s="1">
        <v>1</v>
      </c>
      <c r="AQ871" s="2">
        <v>110000</v>
      </c>
      <c r="AR871" s="1">
        <v>4</v>
      </c>
      <c r="AS871" s="1">
        <v>5</v>
      </c>
      <c r="AT871" s="1">
        <v>1</v>
      </c>
      <c r="AU871" s="1">
        <v>9</v>
      </c>
      <c r="AV871" t="s">
        <v>597</v>
      </c>
      <c r="AW871" s="1" t="s">
        <v>635</v>
      </c>
      <c r="AX871" s="1" t="s">
        <v>45</v>
      </c>
    </row>
    <row r="872" spans="40:50" x14ac:dyDescent="0.25">
      <c r="AN872" s="1" t="s">
        <v>367</v>
      </c>
      <c r="AO872" s="5" t="s">
        <v>380</v>
      </c>
      <c r="AP872" s="1">
        <v>11</v>
      </c>
      <c r="AQ872" s="2">
        <v>50000</v>
      </c>
      <c r="AR872" s="1">
        <v>5</v>
      </c>
      <c r="AS872" s="1">
        <v>3</v>
      </c>
      <c r="AT872" s="1">
        <v>3</v>
      </c>
      <c r="AU872" s="1">
        <v>9</v>
      </c>
      <c r="AV872" t="s">
        <v>478</v>
      </c>
      <c r="AW872" s="1" t="s">
        <v>22</v>
      </c>
      <c r="AX872" s="1" t="s">
        <v>636</v>
      </c>
    </row>
    <row r="873" spans="40:50" x14ac:dyDescent="0.25">
      <c r="AN873" s="1" t="s">
        <v>367</v>
      </c>
      <c r="AO873" s="5" t="s">
        <v>422</v>
      </c>
      <c r="AP873" s="1">
        <v>1</v>
      </c>
      <c r="AQ873" s="2">
        <v>60000</v>
      </c>
      <c r="AR873" s="1">
        <v>6</v>
      </c>
      <c r="AS873" s="1">
        <v>2</v>
      </c>
      <c r="AT873" s="1">
        <v>3</v>
      </c>
      <c r="AU873" s="1">
        <v>7</v>
      </c>
      <c r="AV873" s="5" t="s">
        <v>577</v>
      </c>
      <c r="AW873" s="1" t="s">
        <v>37</v>
      </c>
      <c r="AX873" s="1" t="s">
        <v>37</v>
      </c>
    </row>
    <row r="874" spans="40:50" x14ac:dyDescent="0.25">
      <c r="AN874" s="1" t="s">
        <v>367</v>
      </c>
      <c r="AO874" s="5" t="s">
        <v>288</v>
      </c>
      <c r="AP874" s="1">
        <v>1</v>
      </c>
      <c r="AQ874" s="2">
        <v>100000</v>
      </c>
      <c r="AR874" s="1">
        <v>5</v>
      </c>
      <c r="AS874" s="1">
        <v>3</v>
      </c>
      <c r="AT874" s="1">
        <v>3</v>
      </c>
      <c r="AU874" s="1">
        <v>9</v>
      </c>
      <c r="AV874" s="5" t="s">
        <v>514</v>
      </c>
      <c r="AW874" s="1" t="s">
        <v>37</v>
      </c>
      <c r="AX874" s="1" t="s">
        <v>37</v>
      </c>
    </row>
    <row r="875" spans="40:50" x14ac:dyDescent="0.25">
      <c r="AN875" s="1" t="s">
        <v>367</v>
      </c>
      <c r="AO875" s="5" t="s">
        <v>424</v>
      </c>
      <c r="AP875" s="1">
        <v>1</v>
      </c>
      <c r="AQ875" s="2">
        <v>150000</v>
      </c>
      <c r="AR875" s="1">
        <v>7</v>
      </c>
      <c r="AS875" s="1">
        <v>2</v>
      </c>
      <c r="AT875" s="1">
        <v>3</v>
      </c>
      <c r="AU875" s="1">
        <v>7</v>
      </c>
      <c r="AV875" s="5" t="s">
        <v>621</v>
      </c>
      <c r="AW875" s="1" t="s">
        <v>37</v>
      </c>
      <c r="AX875" s="1" t="s">
        <v>37</v>
      </c>
    </row>
    <row r="876" spans="40:50" x14ac:dyDescent="0.25">
      <c r="AN876" s="1" t="s">
        <v>367</v>
      </c>
      <c r="AO876" s="5" t="s">
        <v>426</v>
      </c>
      <c r="AP876" s="1">
        <v>1</v>
      </c>
      <c r="AQ876" s="2">
        <v>270000</v>
      </c>
      <c r="AR876" s="1">
        <v>4</v>
      </c>
      <c r="AS876" s="1">
        <v>6</v>
      </c>
      <c r="AT876" s="1">
        <v>1</v>
      </c>
      <c r="AU876" s="1">
        <v>9</v>
      </c>
      <c r="AV876" s="5" t="s">
        <v>604</v>
      </c>
      <c r="AW876" s="1" t="s">
        <v>37</v>
      </c>
      <c r="AX876" s="1" t="s">
        <v>37</v>
      </c>
    </row>
    <row r="877" spans="40:50" x14ac:dyDescent="0.25">
      <c r="AN877" s="1" t="s">
        <v>367</v>
      </c>
      <c r="AO877" s="5" t="s">
        <v>456</v>
      </c>
      <c r="AP877" s="1">
        <v>1</v>
      </c>
      <c r="AQ877" s="2">
        <v>290000</v>
      </c>
      <c r="AR877" s="1">
        <v>6</v>
      </c>
      <c r="AS877" s="1">
        <v>4</v>
      </c>
      <c r="AT877" s="1">
        <v>3</v>
      </c>
      <c r="AU877" s="1">
        <v>9</v>
      </c>
      <c r="AV877" s="5" t="s">
        <v>512</v>
      </c>
      <c r="AW877" s="1" t="s">
        <v>37</v>
      </c>
      <c r="AX877" s="1" t="s">
        <v>37</v>
      </c>
    </row>
    <row r="878" spans="40:50" x14ac:dyDescent="0.25">
      <c r="AN878" s="1" t="s">
        <v>367</v>
      </c>
      <c r="AO878" s="99" t="s">
        <v>867</v>
      </c>
      <c r="AP878" s="92">
        <v>1</v>
      </c>
      <c r="AQ878" s="100">
        <v>380000</v>
      </c>
      <c r="AR878" s="92">
        <v>5</v>
      </c>
      <c r="AS878" s="92">
        <v>6</v>
      </c>
      <c r="AT878" s="92">
        <v>2</v>
      </c>
      <c r="AU878" s="92">
        <v>10</v>
      </c>
      <c r="AV878" s="99" t="s">
        <v>865</v>
      </c>
      <c r="AW878" s="1" t="s">
        <v>37</v>
      </c>
      <c r="AX878" s="1" t="s">
        <v>37</v>
      </c>
    </row>
    <row r="879" spans="40:50" x14ac:dyDescent="0.25">
      <c r="AN879" s="1" t="s">
        <v>367</v>
      </c>
      <c r="AO879" s="99" t="s">
        <v>879</v>
      </c>
      <c r="AP879" s="92">
        <v>16</v>
      </c>
      <c r="AQ879" s="100">
        <v>400000</v>
      </c>
      <c r="AR879" s="92">
        <v>6</v>
      </c>
      <c r="AS879" s="92">
        <v>7</v>
      </c>
      <c r="AT879" s="92">
        <v>2</v>
      </c>
      <c r="AU879" s="92">
        <v>10</v>
      </c>
      <c r="AV879" s="99" t="s">
        <v>880</v>
      </c>
      <c r="AW879" s="1" t="s">
        <v>37</v>
      </c>
      <c r="AX879" s="1" t="s">
        <v>37</v>
      </c>
    </row>
    <row r="880" spans="40:50" x14ac:dyDescent="0.25">
      <c r="AN880" s="1" t="s">
        <v>367</v>
      </c>
      <c r="AO880" s="5" t="s">
        <v>35</v>
      </c>
      <c r="AP880" s="1">
        <v>1</v>
      </c>
      <c r="AQ880" s="2">
        <v>430000</v>
      </c>
      <c r="AR880" s="1">
        <v>6</v>
      </c>
      <c r="AS880" s="1">
        <v>6</v>
      </c>
      <c r="AT880" s="1">
        <v>3</v>
      </c>
      <c r="AU880" s="1">
        <v>10</v>
      </c>
      <c r="AV880" s="5" t="s">
        <v>513</v>
      </c>
      <c r="AW880" s="1" t="s">
        <v>37</v>
      </c>
      <c r="AX880" s="1" t="s">
        <v>37</v>
      </c>
    </row>
    <row r="881" spans="40:50" x14ac:dyDescent="0.25">
      <c r="AN881" s="1" t="s">
        <v>677</v>
      </c>
      <c r="AO881" s="5"/>
      <c r="AP881" s="1"/>
      <c r="AQ881" s="2"/>
      <c r="AR881" s="1"/>
      <c r="AS881" s="1"/>
      <c r="AT881" s="1"/>
      <c r="AU881" s="1"/>
      <c r="AV881" s="5"/>
      <c r="AW881" s="1"/>
      <c r="AX881" s="1"/>
    </row>
    <row r="882" spans="40:50" x14ac:dyDescent="0.25">
      <c r="AN882" s="1" t="s">
        <v>677</v>
      </c>
      <c r="AO882" s="5" t="s">
        <v>457</v>
      </c>
      <c r="AP882" s="1">
        <v>12</v>
      </c>
      <c r="AQ882" s="2">
        <v>50000</v>
      </c>
      <c r="AR882" s="1">
        <v>6</v>
      </c>
      <c r="AS882" s="1">
        <v>3</v>
      </c>
      <c r="AT882" s="1">
        <v>3</v>
      </c>
      <c r="AU882" s="1">
        <v>8</v>
      </c>
      <c r="AV882" s="5" t="s">
        <v>647</v>
      </c>
      <c r="AW882" s="1" t="s">
        <v>643</v>
      </c>
      <c r="AX882" s="1" t="s">
        <v>85</v>
      </c>
    </row>
    <row r="883" spans="40:50" x14ac:dyDescent="0.25">
      <c r="AN883" s="1" t="s">
        <v>677</v>
      </c>
      <c r="AO883" s="5" t="s">
        <v>458</v>
      </c>
      <c r="AP883" s="1">
        <v>1</v>
      </c>
      <c r="AQ883" s="2">
        <v>40000</v>
      </c>
      <c r="AR883" s="1">
        <v>6</v>
      </c>
      <c r="AS883" s="1">
        <v>2</v>
      </c>
      <c r="AT883" s="1">
        <v>3</v>
      </c>
      <c r="AU883" s="1">
        <v>7</v>
      </c>
      <c r="AV883" t="s">
        <v>609</v>
      </c>
      <c r="AW883" s="1" t="s">
        <v>281</v>
      </c>
      <c r="AX883" s="1" t="s">
        <v>642</v>
      </c>
    </row>
    <row r="884" spans="40:50" x14ac:dyDescent="0.25">
      <c r="AN884" s="1" t="s">
        <v>677</v>
      </c>
      <c r="AO884" s="5" t="s">
        <v>459</v>
      </c>
      <c r="AP884" s="1">
        <v>1</v>
      </c>
      <c r="AQ884" s="2">
        <v>50000</v>
      </c>
      <c r="AR884" s="1">
        <v>7</v>
      </c>
      <c r="AS884" s="1">
        <v>3</v>
      </c>
      <c r="AT884" s="1">
        <v>3</v>
      </c>
      <c r="AU884" s="1">
        <v>7</v>
      </c>
      <c r="AV884" t="s">
        <v>606</v>
      </c>
      <c r="AW884" s="1" t="s">
        <v>282</v>
      </c>
      <c r="AX884" s="1" t="s">
        <v>636</v>
      </c>
    </row>
    <row r="885" spans="40:50" x14ac:dyDescent="0.25">
      <c r="AN885" s="1" t="s">
        <v>677</v>
      </c>
      <c r="AO885" s="5" t="s">
        <v>460</v>
      </c>
      <c r="AP885" s="1">
        <v>1</v>
      </c>
      <c r="AQ885" s="2">
        <v>50000</v>
      </c>
      <c r="AR885" s="1">
        <v>5</v>
      </c>
      <c r="AS885" s="1">
        <v>3</v>
      </c>
      <c r="AT885" s="1">
        <v>3</v>
      </c>
      <c r="AU885" s="1">
        <v>9</v>
      </c>
      <c r="AV885" t="s">
        <v>606</v>
      </c>
      <c r="AW885" s="1" t="s">
        <v>282</v>
      </c>
      <c r="AX885" s="1" t="s">
        <v>636</v>
      </c>
    </row>
    <row r="886" spans="40:50" x14ac:dyDescent="0.25">
      <c r="AN886" s="1" t="s">
        <v>677</v>
      </c>
      <c r="AO886" s="5" t="s">
        <v>461</v>
      </c>
      <c r="AP886" s="1">
        <v>1</v>
      </c>
      <c r="AQ886" s="2">
        <v>70000</v>
      </c>
      <c r="AR886" s="1">
        <v>6</v>
      </c>
      <c r="AS886" s="1">
        <v>3</v>
      </c>
      <c r="AT886" s="1">
        <v>4</v>
      </c>
      <c r="AU886" s="1">
        <v>8</v>
      </c>
      <c r="AV886" t="s">
        <v>606</v>
      </c>
      <c r="AW886" s="1" t="s">
        <v>283</v>
      </c>
      <c r="AX886" s="1" t="s">
        <v>634</v>
      </c>
    </row>
    <row r="887" spans="40:50" x14ac:dyDescent="0.25">
      <c r="AN887" s="1" t="s">
        <v>677</v>
      </c>
      <c r="AO887" s="5" t="s">
        <v>462</v>
      </c>
      <c r="AP887" s="1">
        <v>1</v>
      </c>
      <c r="AQ887" s="2">
        <v>110000</v>
      </c>
      <c r="AR887" s="1">
        <v>4</v>
      </c>
      <c r="AS887" s="1">
        <v>5</v>
      </c>
      <c r="AT887" s="1">
        <v>1</v>
      </c>
      <c r="AU887" s="1">
        <v>9</v>
      </c>
      <c r="AV887" t="s">
        <v>597</v>
      </c>
      <c r="AW887" s="1" t="s">
        <v>635</v>
      </c>
      <c r="AX887" s="1" t="s">
        <v>62</v>
      </c>
    </row>
    <row r="888" spans="40:50" x14ac:dyDescent="0.25">
      <c r="AN888" s="1" t="s">
        <v>677</v>
      </c>
      <c r="AO888" s="5" t="s">
        <v>463</v>
      </c>
      <c r="AP888" s="1">
        <v>1</v>
      </c>
      <c r="AQ888" s="2">
        <v>140000</v>
      </c>
      <c r="AR888" s="1">
        <v>5</v>
      </c>
      <c r="AS888" s="1">
        <v>5</v>
      </c>
      <c r="AT888" s="1">
        <v>2</v>
      </c>
      <c r="AU888" s="1">
        <v>9</v>
      </c>
      <c r="AV888" t="s">
        <v>526</v>
      </c>
      <c r="AW888" s="1" t="s">
        <v>635</v>
      </c>
      <c r="AX888" s="1" t="s">
        <v>62</v>
      </c>
    </row>
    <row r="889" spans="40:50" x14ac:dyDescent="0.25">
      <c r="AN889" s="1" t="s">
        <v>677</v>
      </c>
      <c r="AO889" s="5" t="s">
        <v>389</v>
      </c>
      <c r="AP889" s="1">
        <v>1</v>
      </c>
      <c r="AQ889" s="2">
        <v>150000</v>
      </c>
      <c r="AR889" s="1">
        <v>5</v>
      </c>
      <c r="AS889" s="1">
        <v>5</v>
      </c>
      <c r="AT889" s="1">
        <v>2</v>
      </c>
      <c r="AU889" s="1">
        <v>8</v>
      </c>
      <c r="AV889" t="s">
        <v>536</v>
      </c>
      <c r="AW889" s="1" t="s">
        <v>635</v>
      </c>
      <c r="AX889" s="1" t="s">
        <v>62</v>
      </c>
    </row>
    <row r="890" spans="40:50" x14ac:dyDescent="0.25">
      <c r="AN890" s="1" t="s">
        <v>677</v>
      </c>
      <c r="AO890" s="5" t="s">
        <v>380</v>
      </c>
      <c r="AP890" s="1">
        <v>11</v>
      </c>
      <c r="AQ890" s="2">
        <v>50000</v>
      </c>
      <c r="AR890" s="1">
        <v>6</v>
      </c>
      <c r="AS890" s="1">
        <v>3</v>
      </c>
      <c r="AT890" s="1">
        <v>3</v>
      </c>
      <c r="AU890" s="1">
        <v>8</v>
      </c>
      <c r="AV890" t="s">
        <v>478</v>
      </c>
      <c r="AW890" s="1" t="s">
        <v>643</v>
      </c>
      <c r="AX890" s="1" t="s">
        <v>85</v>
      </c>
    </row>
    <row r="891" spans="40:50" x14ac:dyDescent="0.25">
      <c r="AN891" s="1" t="s">
        <v>677</v>
      </c>
      <c r="AO891" s="5" t="s">
        <v>422</v>
      </c>
      <c r="AP891" s="1">
        <v>1</v>
      </c>
      <c r="AQ891" s="2">
        <v>60000</v>
      </c>
      <c r="AR891" s="1">
        <v>6</v>
      </c>
      <c r="AS891" s="1">
        <v>2</v>
      </c>
      <c r="AT891" s="1">
        <v>3</v>
      </c>
      <c r="AU891" s="1">
        <v>7</v>
      </c>
      <c r="AV891" s="5" t="s">
        <v>577</v>
      </c>
      <c r="AW891" s="1" t="s">
        <v>37</v>
      </c>
      <c r="AX891" s="1" t="s">
        <v>37</v>
      </c>
    </row>
    <row r="892" spans="40:50" x14ac:dyDescent="0.25">
      <c r="AN892" s="1" t="s">
        <v>677</v>
      </c>
      <c r="AO892" s="5" t="s">
        <v>412</v>
      </c>
      <c r="AP892" s="1">
        <v>1</v>
      </c>
      <c r="AQ892" s="2">
        <v>90000</v>
      </c>
      <c r="AR892" s="1">
        <v>4</v>
      </c>
      <c r="AS892" s="1">
        <v>4</v>
      </c>
      <c r="AT892" s="1">
        <v>3</v>
      </c>
      <c r="AU892" s="1">
        <v>9</v>
      </c>
      <c r="AV892" s="5" t="s">
        <v>580</v>
      </c>
      <c r="AW892" s="1" t="s">
        <v>37</v>
      </c>
      <c r="AX892" s="1" t="s">
        <v>37</v>
      </c>
    </row>
    <row r="893" spans="40:50" x14ac:dyDescent="0.25">
      <c r="AN893" s="1" t="s">
        <v>677</v>
      </c>
      <c r="AO893" s="5" t="s">
        <v>288</v>
      </c>
      <c r="AP893" s="1">
        <v>1</v>
      </c>
      <c r="AQ893" s="2">
        <v>100000</v>
      </c>
      <c r="AR893" s="1">
        <v>5</v>
      </c>
      <c r="AS893" s="1">
        <v>3</v>
      </c>
      <c r="AT893" s="1">
        <v>3</v>
      </c>
      <c r="AU893" s="1">
        <v>9</v>
      </c>
      <c r="AV893" s="5" t="s">
        <v>514</v>
      </c>
      <c r="AW893" s="1" t="s">
        <v>37</v>
      </c>
      <c r="AX893" s="1" t="s">
        <v>37</v>
      </c>
    </row>
    <row r="894" spans="40:50" x14ac:dyDescent="0.25">
      <c r="AN894" s="1" t="s">
        <v>677</v>
      </c>
      <c r="AO894" s="5" t="s">
        <v>30</v>
      </c>
      <c r="AP894" s="1">
        <v>1</v>
      </c>
      <c r="AQ894" s="2">
        <v>110000</v>
      </c>
      <c r="AR894" s="1">
        <v>6</v>
      </c>
      <c r="AS894" s="1">
        <v>3</v>
      </c>
      <c r="AT894" s="1">
        <v>3</v>
      </c>
      <c r="AU894" s="1">
        <v>8</v>
      </c>
      <c r="AV894" s="5" t="s">
        <v>516</v>
      </c>
      <c r="AW894" s="1" t="s">
        <v>37</v>
      </c>
      <c r="AX894" s="1" t="s">
        <v>37</v>
      </c>
    </row>
    <row r="895" spans="40:50" x14ac:dyDescent="0.25">
      <c r="AN895" s="1" t="s">
        <v>677</v>
      </c>
      <c r="AO895" s="5" t="s">
        <v>464</v>
      </c>
      <c r="AP895" s="1">
        <v>1</v>
      </c>
      <c r="AQ895" s="2">
        <v>120000</v>
      </c>
      <c r="AR895" s="1">
        <v>6</v>
      </c>
      <c r="AS895" s="1">
        <v>3</v>
      </c>
      <c r="AT895" s="1">
        <v>3</v>
      </c>
      <c r="AU895" s="1">
        <v>8</v>
      </c>
      <c r="AV895" s="5" t="s">
        <v>563</v>
      </c>
      <c r="AW895" s="1" t="s">
        <v>37</v>
      </c>
      <c r="AX895" s="1" t="s">
        <v>37</v>
      </c>
    </row>
    <row r="896" spans="40:50" x14ac:dyDescent="0.25">
      <c r="AN896" s="1" t="s">
        <v>677</v>
      </c>
      <c r="AO896" s="5" t="s">
        <v>391</v>
      </c>
      <c r="AP896" s="1">
        <v>1</v>
      </c>
      <c r="AQ896" s="2">
        <v>160000</v>
      </c>
      <c r="AR896" s="1">
        <v>6</v>
      </c>
      <c r="AS896" s="1">
        <v>3</v>
      </c>
      <c r="AT896" s="1">
        <v>3</v>
      </c>
      <c r="AU896" s="1">
        <v>9</v>
      </c>
      <c r="AV896" s="5" t="s">
        <v>709</v>
      </c>
      <c r="AW896" s="1" t="s">
        <v>37</v>
      </c>
      <c r="AX896" s="1" t="s">
        <v>37</v>
      </c>
    </row>
    <row r="897" spans="40:50" x14ac:dyDescent="0.25">
      <c r="AN897" s="1" t="s">
        <v>677</v>
      </c>
      <c r="AO897" s="99" t="s">
        <v>710</v>
      </c>
      <c r="AP897" s="1">
        <v>1</v>
      </c>
      <c r="AQ897" s="100">
        <v>170000</v>
      </c>
      <c r="AR897" s="1">
        <v>6</v>
      </c>
      <c r="AS897" s="1">
        <v>3</v>
      </c>
      <c r="AT897" s="1">
        <v>3</v>
      </c>
      <c r="AU897" s="1">
        <v>8</v>
      </c>
      <c r="AV897" s="99" t="s">
        <v>711</v>
      </c>
      <c r="AW897" s="1" t="s">
        <v>37</v>
      </c>
      <c r="AX897" s="1" t="s">
        <v>37</v>
      </c>
    </row>
    <row r="898" spans="40:50" x14ac:dyDescent="0.25">
      <c r="AN898" s="1" t="s">
        <v>677</v>
      </c>
      <c r="AO898" s="5" t="s">
        <v>454</v>
      </c>
      <c r="AP898" s="1">
        <v>1</v>
      </c>
      <c r="AQ898" s="2">
        <v>210000</v>
      </c>
      <c r="AR898" s="1">
        <v>5</v>
      </c>
      <c r="AS898" s="1">
        <v>3</v>
      </c>
      <c r="AT898" s="1">
        <v>4</v>
      </c>
      <c r="AU898" s="1">
        <v>9</v>
      </c>
      <c r="AV898" s="5" t="s">
        <v>619</v>
      </c>
      <c r="AW898" s="1" t="s">
        <v>37</v>
      </c>
      <c r="AX898" s="1" t="s">
        <v>37</v>
      </c>
    </row>
    <row r="899" spans="40:50" x14ac:dyDescent="0.25">
      <c r="AN899" s="1" t="s">
        <v>677</v>
      </c>
      <c r="AO899" s="5" t="s">
        <v>707</v>
      </c>
      <c r="AP899" s="1">
        <v>1</v>
      </c>
      <c r="AQ899" s="100">
        <v>230000</v>
      </c>
      <c r="AR899" s="1">
        <v>5</v>
      </c>
      <c r="AS899" s="1">
        <v>4</v>
      </c>
      <c r="AT899" s="1">
        <v>2</v>
      </c>
      <c r="AU899" s="1">
        <v>9</v>
      </c>
      <c r="AV899" s="99" t="s">
        <v>713</v>
      </c>
      <c r="AW899" s="1" t="s">
        <v>37</v>
      </c>
      <c r="AX899" s="1" t="s">
        <v>37</v>
      </c>
    </row>
    <row r="900" spans="40:50" x14ac:dyDescent="0.25">
      <c r="AN900" s="1" t="s">
        <v>677</v>
      </c>
      <c r="AO900" s="99" t="s">
        <v>867</v>
      </c>
      <c r="AP900" s="92">
        <v>1</v>
      </c>
      <c r="AQ900" s="100">
        <v>380000</v>
      </c>
      <c r="AR900" s="92">
        <v>5</v>
      </c>
      <c r="AS900" s="92">
        <v>6</v>
      </c>
      <c r="AT900" s="92">
        <v>2</v>
      </c>
      <c r="AU900" s="92">
        <v>10</v>
      </c>
      <c r="AV900" s="99" t="s">
        <v>865</v>
      </c>
      <c r="AW900" s="1" t="s">
        <v>37</v>
      </c>
      <c r="AX900" s="1" t="s">
        <v>37</v>
      </c>
    </row>
    <row r="901" spans="40:50" x14ac:dyDescent="0.25">
      <c r="AN901" s="1" t="s">
        <v>677</v>
      </c>
      <c r="AO901" s="99" t="s">
        <v>879</v>
      </c>
      <c r="AP901" s="92">
        <v>16</v>
      </c>
      <c r="AQ901" s="100">
        <v>400000</v>
      </c>
      <c r="AR901" s="92">
        <v>6</v>
      </c>
      <c r="AS901" s="92">
        <v>7</v>
      </c>
      <c r="AT901" s="92">
        <v>2</v>
      </c>
      <c r="AU901" s="92">
        <v>10</v>
      </c>
      <c r="AV901" s="99" t="s">
        <v>880</v>
      </c>
      <c r="AW901" s="1" t="s">
        <v>37</v>
      </c>
      <c r="AX901" s="1" t="s">
        <v>37</v>
      </c>
    </row>
    <row r="902" spans="40:50" x14ac:dyDescent="0.25">
      <c r="AN902" s="1" t="s">
        <v>677</v>
      </c>
      <c r="AO902" s="5" t="s">
        <v>35</v>
      </c>
      <c r="AP902" s="1">
        <v>1</v>
      </c>
      <c r="AQ902" s="2">
        <v>430000</v>
      </c>
      <c r="AR902" s="1">
        <v>6</v>
      </c>
      <c r="AS902" s="1">
        <v>6</v>
      </c>
      <c r="AT902" s="1">
        <v>3</v>
      </c>
      <c r="AU902" s="1">
        <v>10</v>
      </c>
      <c r="AV902" s="5" t="s">
        <v>513</v>
      </c>
      <c r="AW902" s="1" t="s">
        <v>37</v>
      </c>
      <c r="AX902" s="1" t="s">
        <v>37</v>
      </c>
    </row>
    <row r="903" spans="40:50" x14ac:dyDescent="0.25">
      <c r="AN903" s="1" t="s">
        <v>678</v>
      </c>
      <c r="AO903" s="5"/>
      <c r="AP903" s="1"/>
      <c r="AQ903" s="2"/>
      <c r="AR903" s="1"/>
      <c r="AS903" s="1"/>
      <c r="AT903" s="1"/>
      <c r="AU903" s="1"/>
      <c r="AV903"/>
      <c r="AW903" s="1"/>
      <c r="AX903" s="1"/>
    </row>
    <row r="904" spans="40:50" x14ac:dyDescent="0.25">
      <c r="AN904" s="1" t="s">
        <v>678</v>
      </c>
      <c r="AO904" s="5" t="s">
        <v>344</v>
      </c>
      <c r="AP904" s="1">
        <v>12</v>
      </c>
      <c r="AQ904" s="2">
        <v>50000</v>
      </c>
      <c r="AR904" s="1">
        <v>6</v>
      </c>
      <c r="AS904" s="1">
        <v>3</v>
      </c>
      <c r="AT904" s="1">
        <v>3</v>
      </c>
      <c r="AU904" s="1">
        <v>7</v>
      </c>
      <c r="AV904" t="s">
        <v>622</v>
      </c>
      <c r="AW904" s="1" t="s">
        <v>22</v>
      </c>
      <c r="AX904" s="1" t="s">
        <v>636</v>
      </c>
    </row>
    <row r="905" spans="40:50" x14ac:dyDescent="0.25">
      <c r="AN905" s="1" t="s">
        <v>678</v>
      </c>
      <c r="AO905" s="5" t="s">
        <v>465</v>
      </c>
      <c r="AP905" s="1">
        <v>2</v>
      </c>
      <c r="AQ905" s="2">
        <v>70000</v>
      </c>
      <c r="AR905" s="1">
        <v>5</v>
      </c>
      <c r="AS905" s="1">
        <v>3</v>
      </c>
      <c r="AT905" s="1">
        <v>3</v>
      </c>
      <c r="AU905" s="1">
        <v>8</v>
      </c>
      <c r="AV905" t="s">
        <v>623</v>
      </c>
      <c r="AW905" s="1" t="s">
        <v>23</v>
      </c>
      <c r="AX905" s="1" t="s">
        <v>637</v>
      </c>
    </row>
    <row r="906" spans="40:50" x14ac:dyDescent="0.25">
      <c r="AN906" s="1" t="s">
        <v>678</v>
      </c>
      <c r="AO906" s="5" t="s">
        <v>466</v>
      </c>
      <c r="AP906" s="1">
        <v>2</v>
      </c>
      <c r="AQ906" s="2">
        <v>80000</v>
      </c>
      <c r="AR906" s="1">
        <v>7</v>
      </c>
      <c r="AS906" s="1">
        <v>3</v>
      </c>
      <c r="AT906" s="1">
        <v>3</v>
      </c>
      <c r="AU906" s="1">
        <v>7</v>
      </c>
      <c r="AV906" t="s">
        <v>624</v>
      </c>
      <c r="AW906" s="1" t="s">
        <v>24</v>
      </c>
      <c r="AX906" s="1" t="s">
        <v>634</v>
      </c>
    </row>
    <row r="907" spans="40:50" x14ac:dyDescent="0.25">
      <c r="AN907" s="1" t="s">
        <v>678</v>
      </c>
      <c r="AO907" s="5" t="s">
        <v>467</v>
      </c>
      <c r="AP907" s="1">
        <v>4</v>
      </c>
      <c r="AQ907" s="2">
        <v>100000</v>
      </c>
      <c r="AR907" s="1">
        <v>5</v>
      </c>
      <c r="AS907" s="1">
        <v>4</v>
      </c>
      <c r="AT907" s="1">
        <v>2</v>
      </c>
      <c r="AU907" s="1">
        <v>8</v>
      </c>
      <c r="AV907" t="s">
        <v>625</v>
      </c>
      <c r="AW907" s="1" t="s">
        <v>637</v>
      </c>
      <c r="AX907" s="1" t="s">
        <v>23</v>
      </c>
    </row>
    <row r="908" spans="40:50" x14ac:dyDescent="0.25">
      <c r="AN908" s="1" t="s">
        <v>678</v>
      </c>
      <c r="AO908" s="5" t="s">
        <v>468</v>
      </c>
      <c r="AP908" s="1">
        <v>1</v>
      </c>
      <c r="AQ908" s="2">
        <v>140000</v>
      </c>
      <c r="AR908" s="1">
        <v>5</v>
      </c>
      <c r="AS908" s="1">
        <v>5</v>
      </c>
      <c r="AT908" s="1">
        <v>1</v>
      </c>
      <c r="AU908" s="1">
        <v>9</v>
      </c>
      <c r="AV908" t="s">
        <v>626</v>
      </c>
      <c r="AW908" s="1" t="s">
        <v>635</v>
      </c>
      <c r="AX908" s="1" t="s">
        <v>45</v>
      </c>
    </row>
    <row r="909" spans="40:50" x14ac:dyDescent="0.25">
      <c r="AN909" s="1" t="s">
        <v>678</v>
      </c>
      <c r="AO909" s="5" t="s">
        <v>380</v>
      </c>
      <c r="AP909" s="1">
        <v>11</v>
      </c>
      <c r="AQ909" s="2">
        <v>50000</v>
      </c>
      <c r="AR909" s="1">
        <v>6</v>
      </c>
      <c r="AS909" s="1">
        <v>3</v>
      </c>
      <c r="AT909" s="1">
        <v>3</v>
      </c>
      <c r="AU909" s="1">
        <v>7</v>
      </c>
      <c r="AV909" t="s">
        <v>627</v>
      </c>
      <c r="AW909" s="1" t="s">
        <v>22</v>
      </c>
      <c r="AX909" s="1" t="s">
        <v>636</v>
      </c>
    </row>
    <row r="910" spans="40:50" x14ac:dyDescent="0.25">
      <c r="AN910" s="1" t="s">
        <v>678</v>
      </c>
      <c r="AO910" s="5" t="s">
        <v>30</v>
      </c>
      <c r="AP910" s="1">
        <v>1</v>
      </c>
      <c r="AQ910" s="2">
        <v>110000</v>
      </c>
      <c r="AR910" s="1">
        <v>6</v>
      </c>
      <c r="AS910" s="1">
        <v>3</v>
      </c>
      <c r="AT910" s="1">
        <v>3</v>
      </c>
      <c r="AU910" s="1">
        <v>8</v>
      </c>
      <c r="AV910" s="5" t="s">
        <v>516</v>
      </c>
      <c r="AW910" s="1" t="s">
        <v>37</v>
      </c>
      <c r="AX910" s="1" t="s">
        <v>37</v>
      </c>
    </row>
    <row r="911" spans="40:50" x14ac:dyDescent="0.25">
      <c r="AN911" s="1" t="s">
        <v>678</v>
      </c>
      <c r="AO911" s="5" t="s">
        <v>386</v>
      </c>
      <c r="AP911" s="1">
        <v>1</v>
      </c>
      <c r="AQ911" s="2">
        <v>260000</v>
      </c>
      <c r="AR911" s="1">
        <v>4</v>
      </c>
      <c r="AS911" s="1">
        <v>5</v>
      </c>
      <c r="AT911" s="1">
        <v>2</v>
      </c>
      <c r="AU911" s="1">
        <v>9</v>
      </c>
      <c r="AV911" s="5" t="s">
        <v>504</v>
      </c>
      <c r="AW911" s="1" t="s">
        <v>37</v>
      </c>
      <c r="AX911" s="1" t="s">
        <v>37</v>
      </c>
    </row>
    <row r="912" spans="40:50" x14ac:dyDescent="0.25">
      <c r="AN912" s="1" t="s">
        <v>678</v>
      </c>
      <c r="AO912" s="5" t="s">
        <v>107</v>
      </c>
      <c r="AP912" s="1">
        <v>1</v>
      </c>
      <c r="AQ912" s="2">
        <v>320000</v>
      </c>
      <c r="AR912" s="1">
        <v>7</v>
      </c>
      <c r="AS912" s="1">
        <v>4</v>
      </c>
      <c r="AT912" s="1">
        <v>4</v>
      </c>
      <c r="AU912" s="1">
        <v>8</v>
      </c>
      <c r="AV912" s="5" t="s">
        <v>530</v>
      </c>
      <c r="AW912" s="1" t="s">
        <v>37</v>
      </c>
      <c r="AX912" s="1" t="s">
        <v>37</v>
      </c>
    </row>
    <row r="913" spans="40:50" x14ac:dyDescent="0.25">
      <c r="AN913" s="1" t="s">
        <v>678</v>
      </c>
      <c r="AO913" s="99" t="s">
        <v>867</v>
      </c>
      <c r="AP913" s="92">
        <v>1</v>
      </c>
      <c r="AQ913" s="100">
        <v>380000</v>
      </c>
      <c r="AR913" s="92">
        <v>5</v>
      </c>
      <c r="AS913" s="92">
        <v>6</v>
      </c>
      <c r="AT913" s="92">
        <v>2</v>
      </c>
      <c r="AU913" s="92">
        <v>10</v>
      </c>
      <c r="AV913" s="99" t="s">
        <v>865</v>
      </c>
      <c r="AW913" s="1" t="s">
        <v>37</v>
      </c>
      <c r="AX913" s="1" t="s">
        <v>37</v>
      </c>
    </row>
    <row r="914" spans="40:50" x14ac:dyDescent="0.25">
      <c r="AN914" s="1" t="s">
        <v>678</v>
      </c>
      <c r="AO914" s="99" t="s">
        <v>879</v>
      </c>
      <c r="AP914" s="92">
        <v>16</v>
      </c>
      <c r="AQ914" s="100">
        <v>400000</v>
      </c>
      <c r="AR914" s="92">
        <v>6</v>
      </c>
      <c r="AS914" s="92">
        <v>7</v>
      </c>
      <c r="AT914" s="92">
        <v>2</v>
      </c>
      <c r="AU914" s="92">
        <v>10</v>
      </c>
      <c r="AV914" s="99" t="s">
        <v>880</v>
      </c>
      <c r="AW914" s="1" t="s">
        <v>37</v>
      </c>
      <c r="AX914" s="1" t="s">
        <v>37</v>
      </c>
    </row>
    <row r="915" spans="40:50" x14ac:dyDescent="0.25">
      <c r="AN915" s="1" t="s">
        <v>678</v>
      </c>
      <c r="AO915" s="5" t="s">
        <v>35</v>
      </c>
      <c r="AP915" s="1">
        <v>1</v>
      </c>
      <c r="AQ915" s="2">
        <v>430000</v>
      </c>
      <c r="AR915" s="1">
        <v>6</v>
      </c>
      <c r="AS915" s="1">
        <v>6</v>
      </c>
      <c r="AT915" s="1">
        <v>3</v>
      </c>
      <c r="AU915" s="1">
        <v>10</v>
      </c>
      <c r="AV915" s="5" t="s">
        <v>513</v>
      </c>
      <c r="AW915" s="1" t="s">
        <v>37</v>
      </c>
      <c r="AX915" s="1" t="s">
        <v>37</v>
      </c>
    </row>
    <row r="916" spans="40:50" x14ac:dyDescent="0.25">
      <c r="AN916" s="1" t="s">
        <v>679</v>
      </c>
      <c r="AO916" s="5"/>
      <c r="AP916" s="1"/>
      <c r="AQ916" s="2"/>
      <c r="AR916" s="1"/>
      <c r="AS916" s="1"/>
      <c r="AT916" s="1"/>
      <c r="AU916" s="1"/>
      <c r="AV916"/>
      <c r="AW916" s="1"/>
      <c r="AX916" s="1"/>
    </row>
    <row r="917" spans="40:50" x14ac:dyDescent="0.25">
      <c r="AN917" s="1" t="s">
        <v>679</v>
      </c>
      <c r="AO917" s="5" t="s">
        <v>370</v>
      </c>
      <c r="AP917" s="1">
        <v>16</v>
      </c>
      <c r="AQ917" s="2">
        <v>50000</v>
      </c>
      <c r="AR917" s="1">
        <v>7</v>
      </c>
      <c r="AS917" s="1">
        <v>3</v>
      </c>
      <c r="AT917" s="1">
        <v>3</v>
      </c>
      <c r="AU917" s="1">
        <v>7</v>
      </c>
      <c r="AV917" t="s">
        <v>647</v>
      </c>
      <c r="AW917" s="1" t="s">
        <v>22</v>
      </c>
      <c r="AX917" s="1" t="s">
        <v>644</v>
      </c>
    </row>
    <row r="918" spans="40:50" x14ac:dyDescent="0.25">
      <c r="AN918" s="1" t="s">
        <v>679</v>
      </c>
      <c r="AO918" s="5" t="s">
        <v>371</v>
      </c>
      <c r="AP918" s="1">
        <v>2</v>
      </c>
      <c r="AQ918" s="2">
        <v>70000</v>
      </c>
      <c r="AR918" s="1">
        <v>7</v>
      </c>
      <c r="AS918" s="1">
        <v>3</v>
      </c>
      <c r="AT918" s="1">
        <v>3</v>
      </c>
      <c r="AU918" s="1">
        <v>7</v>
      </c>
      <c r="AV918" t="s">
        <v>492</v>
      </c>
      <c r="AW918" s="1" t="s">
        <v>23</v>
      </c>
      <c r="AX918" s="1" t="s">
        <v>645</v>
      </c>
    </row>
    <row r="919" spans="40:50" x14ac:dyDescent="0.25">
      <c r="AN919" s="1" t="s">
        <v>679</v>
      </c>
      <c r="AO919" s="5" t="s">
        <v>469</v>
      </c>
      <c r="AP919" s="1">
        <v>4</v>
      </c>
      <c r="AQ919" s="2">
        <v>80000</v>
      </c>
      <c r="AR919" s="1">
        <v>9</v>
      </c>
      <c r="AS919" s="1">
        <v>2</v>
      </c>
      <c r="AT919" s="1">
        <v>4</v>
      </c>
      <c r="AU919" s="1">
        <v>7</v>
      </c>
      <c r="AV919" t="s">
        <v>628</v>
      </c>
      <c r="AW919" s="1" t="s">
        <v>24</v>
      </c>
      <c r="AX919" s="1" t="s">
        <v>646</v>
      </c>
    </row>
    <row r="920" spans="40:50" x14ac:dyDescent="0.25">
      <c r="AN920" s="1" t="s">
        <v>679</v>
      </c>
      <c r="AO920" s="5" t="s">
        <v>5</v>
      </c>
      <c r="AP920" s="1">
        <v>2</v>
      </c>
      <c r="AQ920" s="2">
        <v>90000</v>
      </c>
      <c r="AR920" s="1">
        <v>7</v>
      </c>
      <c r="AS920" s="1">
        <v>3</v>
      </c>
      <c r="AT920" s="1">
        <v>3</v>
      </c>
      <c r="AU920" s="1">
        <v>8</v>
      </c>
      <c r="AV920" t="s">
        <v>476</v>
      </c>
      <c r="AW920" s="1" t="s">
        <v>638</v>
      </c>
      <c r="AX920" s="1" t="s">
        <v>59</v>
      </c>
    </row>
    <row r="921" spans="40:50" x14ac:dyDescent="0.25">
      <c r="AN921" s="1" t="s">
        <v>679</v>
      </c>
      <c r="AO921" s="5" t="s">
        <v>470</v>
      </c>
      <c r="AP921" s="1">
        <v>1</v>
      </c>
      <c r="AQ921" s="2">
        <v>150000</v>
      </c>
      <c r="AR921" s="1">
        <v>6</v>
      </c>
      <c r="AS921" s="1">
        <v>5</v>
      </c>
      <c r="AT921" s="1">
        <v>2</v>
      </c>
      <c r="AU921" s="1">
        <v>8</v>
      </c>
      <c r="AV921" t="s">
        <v>602</v>
      </c>
      <c r="AW921" s="1" t="s">
        <v>635</v>
      </c>
      <c r="AX921" s="1" t="s">
        <v>62</v>
      </c>
    </row>
    <row r="922" spans="40:50" x14ac:dyDescent="0.25">
      <c r="AN922" s="1" t="s">
        <v>679</v>
      </c>
      <c r="AO922" s="5" t="s">
        <v>380</v>
      </c>
      <c r="AP922" s="1">
        <v>11</v>
      </c>
      <c r="AQ922" s="2">
        <v>50000</v>
      </c>
      <c r="AR922" s="1">
        <v>7</v>
      </c>
      <c r="AS922" s="1">
        <v>3</v>
      </c>
      <c r="AT922" s="1">
        <v>3</v>
      </c>
      <c r="AU922" s="1">
        <v>7</v>
      </c>
      <c r="AV922" t="s">
        <v>478</v>
      </c>
      <c r="AW922" s="1" t="s">
        <v>22</v>
      </c>
      <c r="AX922" s="1" t="s">
        <v>644</v>
      </c>
    </row>
    <row r="923" spans="40:50" x14ac:dyDescent="0.25">
      <c r="AN923" s="1" t="s">
        <v>679</v>
      </c>
      <c r="AO923" s="5" t="s">
        <v>104</v>
      </c>
      <c r="AP923" s="1">
        <v>1</v>
      </c>
      <c r="AQ923" s="2">
        <v>100000</v>
      </c>
      <c r="AR923" s="1">
        <v>4</v>
      </c>
      <c r="AS923" s="1">
        <v>7</v>
      </c>
      <c r="AT923" s="1">
        <v>3</v>
      </c>
      <c r="AU923" s="1">
        <v>7</v>
      </c>
      <c r="AV923" s="5" t="s">
        <v>616</v>
      </c>
      <c r="AW923" s="1" t="s">
        <v>37</v>
      </c>
      <c r="AX923" s="1" t="s">
        <v>37</v>
      </c>
    </row>
    <row r="924" spans="40:50" x14ac:dyDescent="0.25">
      <c r="AN924" s="1" t="s">
        <v>679</v>
      </c>
      <c r="AO924" s="99" t="s">
        <v>697</v>
      </c>
      <c r="AP924" s="92">
        <v>1</v>
      </c>
      <c r="AQ924" s="100">
        <v>110000</v>
      </c>
      <c r="AR924" s="92">
        <v>8</v>
      </c>
      <c r="AS924" s="92">
        <v>3</v>
      </c>
      <c r="AT924" s="92">
        <v>3</v>
      </c>
      <c r="AU924" s="92">
        <v>7</v>
      </c>
      <c r="AV924" s="99" t="s">
        <v>775</v>
      </c>
      <c r="AW924" s="1" t="s">
        <v>37</v>
      </c>
      <c r="AX924" s="1" t="s">
        <v>37</v>
      </c>
    </row>
    <row r="925" spans="40:50" x14ac:dyDescent="0.25">
      <c r="AN925" s="1" t="s">
        <v>679</v>
      </c>
      <c r="AO925" s="5" t="s">
        <v>357</v>
      </c>
      <c r="AP925" s="1">
        <v>1</v>
      </c>
      <c r="AQ925" s="2">
        <v>130000</v>
      </c>
      <c r="AR925" s="1">
        <v>5</v>
      </c>
      <c r="AS925" s="1">
        <v>7</v>
      </c>
      <c r="AT925" s="1">
        <v>2</v>
      </c>
      <c r="AU925" s="1">
        <v>9</v>
      </c>
      <c r="AV925" s="5" t="s">
        <v>600</v>
      </c>
      <c r="AW925" s="1" t="s">
        <v>37</v>
      </c>
      <c r="AX925" s="1" t="s">
        <v>37</v>
      </c>
    </row>
    <row r="926" spans="40:50" x14ac:dyDescent="0.25">
      <c r="AN926" s="1" t="s">
        <v>679</v>
      </c>
      <c r="AO926" s="5" t="s">
        <v>437</v>
      </c>
      <c r="AP926" s="1">
        <v>1</v>
      </c>
      <c r="AQ926" s="2">
        <v>160000</v>
      </c>
      <c r="AR926" s="1">
        <v>9</v>
      </c>
      <c r="AS926" s="1">
        <v>2</v>
      </c>
      <c r="AT926" s="1">
        <v>4</v>
      </c>
      <c r="AU926" s="1">
        <v>7</v>
      </c>
      <c r="AV926" s="5" t="s">
        <v>601</v>
      </c>
      <c r="AW926" s="1" t="s">
        <v>37</v>
      </c>
      <c r="AX926" s="1" t="s">
        <v>37</v>
      </c>
    </row>
    <row r="927" spans="40:50" x14ac:dyDescent="0.25">
      <c r="AN927" s="1" t="s">
        <v>679</v>
      </c>
      <c r="AO927" s="5" t="s">
        <v>698</v>
      </c>
      <c r="AP927" s="1">
        <v>1</v>
      </c>
      <c r="AQ927" s="2">
        <v>200000</v>
      </c>
      <c r="AR927" s="1">
        <v>9</v>
      </c>
      <c r="AS927" s="1">
        <v>3</v>
      </c>
      <c r="AT927" s="1">
        <v>4</v>
      </c>
      <c r="AU927" s="1">
        <v>7</v>
      </c>
      <c r="AV927" s="5" t="s">
        <v>629</v>
      </c>
      <c r="AW927" s="1" t="s">
        <v>37</v>
      </c>
      <c r="AX927" s="1" t="s">
        <v>37</v>
      </c>
    </row>
    <row r="928" spans="40:50" x14ac:dyDescent="0.25">
      <c r="AN928" s="1" t="s">
        <v>679</v>
      </c>
      <c r="AO928" s="5" t="s">
        <v>438</v>
      </c>
      <c r="AP928" s="1">
        <v>1</v>
      </c>
      <c r="AQ928" s="2">
        <v>210000</v>
      </c>
      <c r="AR928" s="1">
        <v>7</v>
      </c>
      <c r="AS928" s="1">
        <v>4</v>
      </c>
      <c r="AT928" s="1">
        <v>3</v>
      </c>
      <c r="AU928" s="1">
        <v>8</v>
      </c>
      <c r="AV928" s="5" t="s">
        <v>701</v>
      </c>
      <c r="AW928" s="1" t="s">
        <v>37</v>
      </c>
      <c r="AX928" s="1" t="s">
        <v>37</v>
      </c>
    </row>
    <row r="929" spans="40:50" x14ac:dyDescent="0.25">
      <c r="AN929" s="1" t="s">
        <v>679</v>
      </c>
      <c r="AO929" s="5" t="s">
        <v>439</v>
      </c>
      <c r="AP929" s="1">
        <v>1</v>
      </c>
      <c r="AQ929" s="2">
        <v>190000</v>
      </c>
      <c r="AR929" s="1">
        <v>5</v>
      </c>
      <c r="AS929" s="1">
        <v>4</v>
      </c>
      <c r="AT929" s="1">
        <v>2</v>
      </c>
      <c r="AU929" s="1">
        <v>8</v>
      </c>
      <c r="AV929" s="5" t="s">
        <v>610</v>
      </c>
      <c r="AW929" s="1" t="s">
        <v>37</v>
      </c>
      <c r="AX929" s="1" t="s">
        <v>37</v>
      </c>
    </row>
    <row r="930" spans="40:50" x14ac:dyDescent="0.25">
      <c r="AN930" s="1" t="s">
        <v>679</v>
      </c>
      <c r="AO930" s="5" t="s">
        <v>471</v>
      </c>
      <c r="AP930" s="1">
        <v>1</v>
      </c>
      <c r="AQ930" s="2">
        <v>340000</v>
      </c>
      <c r="AR930" s="1">
        <v>6</v>
      </c>
      <c r="AS930" s="1">
        <v>6</v>
      </c>
      <c r="AT930" s="1">
        <v>3</v>
      </c>
      <c r="AU930" s="1">
        <v>8</v>
      </c>
      <c r="AV930" s="5" t="s">
        <v>603</v>
      </c>
      <c r="AW930" s="1" t="s">
        <v>37</v>
      </c>
      <c r="AX930" s="1" t="s">
        <v>37</v>
      </c>
    </row>
    <row r="931" spans="40:50" x14ac:dyDescent="0.25">
      <c r="AN931" s="1" t="s">
        <v>679</v>
      </c>
      <c r="AO931" s="99" t="s">
        <v>867</v>
      </c>
      <c r="AP931" s="92">
        <v>1</v>
      </c>
      <c r="AQ931" s="100">
        <v>380000</v>
      </c>
      <c r="AR931" s="92">
        <v>5</v>
      </c>
      <c r="AS931" s="92">
        <v>6</v>
      </c>
      <c r="AT931" s="92">
        <v>2</v>
      </c>
      <c r="AU931" s="92">
        <v>10</v>
      </c>
      <c r="AV931" s="99" t="s">
        <v>865</v>
      </c>
      <c r="AW931" s="1" t="s">
        <v>37</v>
      </c>
      <c r="AX931" s="1" t="s">
        <v>37</v>
      </c>
    </row>
    <row r="932" spans="40:50" x14ac:dyDescent="0.25">
      <c r="AN932" s="1" t="s">
        <v>679</v>
      </c>
      <c r="AO932" s="99" t="s">
        <v>879</v>
      </c>
      <c r="AP932" s="92">
        <v>16</v>
      </c>
      <c r="AQ932" s="100">
        <v>400000</v>
      </c>
      <c r="AR932" s="92">
        <v>6</v>
      </c>
      <c r="AS932" s="92">
        <v>7</v>
      </c>
      <c r="AT932" s="92">
        <v>2</v>
      </c>
      <c r="AU932" s="92">
        <v>10</v>
      </c>
      <c r="AV932" s="99" t="s">
        <v>880</v>
      </c>
      <c r="AW932" s="1" t="s">
        <v>37</v>
      </c>
      <c r="AX932" s="1" t="s">
        <v>37</v>
      </c>
    </row>
    <row r="933" spans="40:50" x14ac:dyDescent="0.25">
      <c r="AN933" s="1" t="s">
        <v>679</v>
      </c>
      <c r="AO933" s="5" t="s">
        <v>35</v>
      </c>
      <c r="AP933" s="1">
        <v>1</v>
      </c>
      <c r="AQ933" s="2">
        <v>430000</v>
      </c>
      <c r="AR933" s="1">
        <v>6</v>
      </c>
      <c r="AS933" s="1">
        <v>6</v>
      </c>
      <c r="AT933" s="1">
        <v>3</v>
      </c>
      <c r="AU933" s="1">
        <v>10</v>
      </c>
      <c r="AV933" s="5" t="s">
        <v>513</v>
      </c>
      <c r="AW933" s="1" t="s">
        <v>37</v>
      </c>
      <c r="AX933" s="1" t="s">
        <v>37</v>
      </c>
    </row>
    <row r="934" spans="40:50" x14ac:dyDescent="0.25">
      <c r="AN934" s="1" t="s">
        <v>680</v>
      </c>
      <c r="AO934" s="5"/>
      <c r="AP934" s="1"/>
      <c r="AQ934" s="2"/>
      <c r="AR934" s="1"/>
      <c r="AS934" s="1"/>
      <c r="AT934" s="1"/>
      <c r="AU934" s="1"/>
      <c r="AV934"/>
      <c r="AW934" s="1"/>
      <c r="AX934" s="1"/>
    </row>
    <row r="935" spans="40:50" x14ac:dyDescent="0.25">
      <c r="AN935" s="1" t="s">
        <v>680</v>
      </c>
      <c r="AO935" s="5" t="s">
        <v>370</v>
      </c>
      <c r="AP935" s="1">
        <v>16</v>
      </c>
      <c r="AQ935" s="2">
        <v>60000</v>
      </c>
      <c r="AR935" s="1">
        <v>6</v>
      </c>
      <c r="AS935" s="1">
        <v>3</v>
      </c>
      <c r="AT935" s="1">
        <v>3</v>
      </c>
      <c r="AU935" s="1">
        <v>8</v>
      </c>
      <c r="AV935" t="s">
        <v>591</v>
      </c>
      <c r="AW935" s="1" t="s">
        <v>22</v>
      </c>
      <c r="AX935" s="1" t="s">
        <v>636</v>
      </c>
    </row>
    <row r="936" spans="40:50" x14ac:dyDescent="0.25">
      <c r="AN936" s="1" t="s">
        <v>680</v>
      </c>
      <c r="AO936" s="5" t="s">
        <v>372</v>
      </c>
      <c r="AP936" s="1">
        <v>4</v>
      </c>
      <c r="AQ936" s="2">
        <v>80000</v>
      </c>
      <c r="AR936" s="1">
        <v>7</v>
      </c>
      <c r="AS936" s="1">
        <v>2</v>
      </c>
      <c r="AT936" s="1">
        <v>4</v>
      </c>
      <c r="AU936" s="1">
        <v>7</v>
      </c>
      <c r="AV936" t="s">
        <v>592</v>
      </c>
      <c r="AW936" s="1" t="s">
        <v>24</v>
      </c>
      <c r="AX936" s="1" t="s">
        <v>634</v>
      </c>
    </row>
    <row r="937" spans="40:50" x14ac:dyDescent="0.25">
      <c r="AN937" s="1" t="s">
        <v>680</v>
      </c>
      <c r="AO937" s="5" t="s">
        <v>5</v>
      </c>
      <c r="AP937" s="1">
        <v>4</v>
      </c>
      <c r="AQ937" s="2">
        <v>110000</v>
      </c>
      <c r="AR937" s="1">
        <v>7</v>
      </c>
      <c r="AS937" s="1">
        <v>3</v>
      </c>
      <c r="AT937" s="1">
        <v>3</v>
      </c>
      <c r="AU937" s="1">
        <v>8</v>
      </c>
      <c r="AV937" t="s">
        <v>593</v>
      </c>
      <c r="AW937" s="1" t="s">
        <v>641</v>
      </c>
      <c r="AX937" s="1" t="s">
        <v>324</v>
      </c>
    </row>
    <row r="938" spans="40:50" x14ac:dyDescent="0.25">
      <c r="AN938" s="1" t="s">
        <v>680</v>
      </c>
      <c r="AO938" s="5" t="s">
        <v>191</v>
      </c>
      <c r="AP938" s="1">
        <v>1</v>
      </c>
      <c r="AQ938" s="2">
        <v>140000</v>
      </c>
      <c r="AR938" s="1">
        <v>6</v>
      </c>
      <c r="AS938" s="1">
        <v>5</v>
      </c>
      <c r="AT938" s="1">
        <v>1</v>
      </c>
      <c r="AU938" s="1">
        <v>9</v>
      </c>
      <c r="AV938" t="s">
        <v>599</v>
      </c>
      <c r="AW938" s="1" t="s">
        <v>635</v>
      </c>
      <c r="AX938" s="1" t="s">
        <v>45</v>
      </c>
    </row>
    <row r="939" spans="40:50" x14ac:dyDescent="0.25">
      <c r="AN939" s="1" t="s">
        <v>680</v>
      </c>
      <c r="AO939" s="5" t="s">
        <v>380</v>
      </c>
      <c r="AP939" s="1">
        <v>11</v>
      </c>
      <c r="AQ939" s="2">
        <v>60000</v>
      </c>
      <c r="AR939" s="1">
        <v>6</v>
      </c>
      <c r="AS939" s="1">
        <v>3</v>
      </c>
      <c r="AT939" s="1">
        <v>3</v>
      </c>
      <c r="AU939" s="1">
        <v>8</v>
      </c>
      <c r="AV939" t="s">
        <v>594</v>
      </c>
      <c r="AW939" s="1" t="s">
        <v>22</v>
      </c>
      <c r="AX939" s="1" t="s">
        <v>636</v>
      </c>
    </row>
    <row r="940" spans="40:50" x14ac:dyDescent="0.25">
      <c r="AN940" s="1" t="s">
        <v>680</v>
      </c>
      <c r="AO940" s="5" t="s">
        <v>30</v>
      </c>
      <c r="AP940" s="1">
        <v>1</v>
      </c>
      <c r="AQ940" s="2">
        <v>110000</v>
      </c>
      <c r="AR940" s="1">
        <v>6</v>
      </c>
      <c r="AS940" s="1">
        <v>3</v>
      </c>
      <c r="AT940" s="1">
        <v>3</v>
      </c>
      <c r="AU940" s="1">
        <v>8</v>
      </c>
      <c r="AV940" s="5" t="s">
        <v>516</v>
      </c>
      <c r="AW940" s="1" t="s">
        <v>37</v>
      </c>
      <c r="AX940" s="1" t="s">
        <v>37</v>
      </c>
    </row>
    <row r="941" spans="40:50" x14ac:dyDescent="0.25">
      <c r="AN941" s="1" t="s">
        <v>680</v>
      </c>
      <c r="AO941" s="5" t="s">
        <v>290</v>
      </c>
      <c r="AP941" s="1">
        <v>1</v>
      </c>
      <c r="AQ941" s="2">
        <v>170000</v>
      </c>
      <c r="AR941" s="1">
        <v>8</v>
      </c>
      <c r="AS941" s="1">
        <v>2</v>
      </c>
      <c r="AT941" s="1">
        <v>3</v>
      </c>
      <c r="AU941" s="1">
        <v>7</v>
      </c>
      <c r="AV941" s="5" t="s">
        <v>544</v>
      </c>
      <c r="AW941" s="1" t="s">
        <v>37</v>
      </c>
      <c r="AX941" s="1" t="s">
        <v>37</v>
      </c>
    </row>
    <row r="942" spans="40:50" x14ac:dyDescent="0.25">
      <c r="AN942" s="1" t="s">
        <v>680</v>
      </c>
      <c r="AO942" s="5" t="s">
        <v>325</v>
      </c>
      <c r="AP942" s="1">
        <v>1</v>
      </c>
      <c r="AQ942" s="2">
        <v>220000</v>
      </c>
      <c r="AR942" s="1">
        <v>8</v>
      </c>
      <c r="AS942" s="1">
        <v>3</v>
      </c>
      <c r="AT942" s="1">
        <v>3</v>
      </c>
      <c r="AU942" s="1">
        <v>8</v>
      </c>
      <c r="AV942" s="5" t="s">
        <v>589</v>
      </c>
      <c r="AW942" s="1" t="s">
        <v>37</v>
      </c>
      <c r="AX942" s="1" t="s">
        <v>37</v>
      </c>
    </row>
    <row r="943" spans="40:50" x14ac:dyDescent="0.25">
      <c r="AN943" s="1" t="s">
        <v>680</v>
      </c>
      <c r="AO943" s="5" t="s">
        <v>707</v>
      </c>
      <c r="AP943" s="1">
        <v>1</v>
      </c>
      <c r="AQ943" s="100">
        <v>230000</v>
      </c>
      <c r="AR943" s="1">
        <v>5</v>
      </c>
      <c r="AS943" s="1">
        <v>4</v>
      </c>
      <c r="AT943" s="1">
        <v>2</v>
      </c>
      <c r="AU943" s="1">
        <v>9</v>
      </c>
      <c r="AV943" s="99" t="s">
        <v>713</v>
      </c>
      <c r="AW943" s="1" t="s">
        <v>37</v>
      </c>
      <c r="AX943" s="1" t="s">
        <v>37</v>
      </c>
    </row>
    <row r="944" spans="40:50" x14ac:dyDescent="0.25">
      <c r="AN944" s="1" t="s">
        <v>680</v>
      </c>
      <c r="AO944" s="5" t="s">
        <v>431</v>
      </c>
      <c r="AP944" s="1">
        <v>1</v>
      </c>
      <c r="AQ944" s="2">
        <v>250000</v>
      </c>
      <c r="AR944" s="1">
        <v>8</v>
      </c>
      <c r="AS944" s="1">
        <v>2</v>
      </c>
      <c r="AT944" s="1">
        <v>4</v>
      </c>
      <c r="AU944" s="1">
        <v>7</v>
      </c>
      <c r="AV944" s="5" t="s">
        <v>590</v>
      </c>
      <c r="AW944" s="1" t="s">
        <v>37</v>
      </c>
      <c r="AX944" s="1" t="s">
        <v>37</v>
      </c>
    </row>
    <row r="945" spans="40:50" x14ac:dyDescent="0.25">
      <c r="AN945" s="1" t="s">
        <v>680</v>
      </c>
      <c r="AO945" s="5" t="s">
        <v>122</v>
      </c>
      <c r="AP945" s="1">
        <v>1</v>
      </c>
      <c r="AQ945" s="2">
        <v>250000</v>
      </c>
      <c r="AR945" s="1">
        <v>7</v>
      </c>
      <c r="AS945" s="1">
        <v>4</v>
      </c>
      <c r="AT945" s="1">
        <v>1</v>
      </c>
      <c r="AU945" s="1">
        <v>9</v>
      </c>
      <c r="AV945" s="5" t="s">
        <v>605</v>
      </c>
      <c r="AW945" s="1" t="s">
        <v>37</v>
      </c>
      <c r="AX945" s="1" t="s">
        <v>37</v>
      </c>
    </row>
    <row r="946" spans="40:50" x14ac:dyDescent="0.25">
      <c r="AN946" s="1" t="s">
        <v>680</v>
      </c>
      <c r="AO946" s="99" t="s">
        <v>836</v>
      </c>
      <c r="AP946" s="92">
        <v>1</v>
      </c>
      <c r="AQ946" s="100">
        <v>280000</v>
      </c>
      <c r="AR946" s="92">
        <v>5</v>
      </c>
      <c r="AS946" s="92">
        <v>5</v>
      </c>
      <c r="AT946" s="92">
        <v>2</v>
      </c>
      <c r="AU946" s="92">
        <v>9</v>
      </c>
      <c r="AV946" s="99" t="s">
        <v>837</v>
      </c>
      <c r="AW946" s="1" t="s">
        <v>37</v>
      </c>
      <c r="AX946" s="1" t="s">
        <v>37</v>
      </c>
    </row>
    <row r="947" spans="40:50" x14ac:dyDescent="0.25">
      <c r="AN947" s="1" t="s">
        <v>680</v>
      </c>
      <c r="AO947" s="99" t="s">
        <v>867</v>
      </c>
      <c r="AP947" s="92">
        <v>1</v>
      </c>
      <c r="AQ947" s="100">
        <v>380000</v>
      </c>
      <c r="AR947" s="92">
        <v>5</v>
      </c>
      <c r="AS947" s="92">
        <v>6</v>
      </c>
      <c r="AT947" s="92">
        <v>2</v>
      </c>
      <c r="AU947" s="92">
        <v>10</v>
      </c>
      <c r="AV947" s="99" t="s">
        <v>865</v>
      </c>
      <c r="AW947" s="1" t="s">
        <v>37</v>
      </c>
      <c r="AX947" s="1" t="s">
        <v>37</v>
      </c>
    </row>
    <row r="948" spans="40:50" x14ac:dyDescent="0.25">
      <c r="AN948" s="1" t="s">
        <v>680</v>
      </c>
      <c r="AO948" s="99" t="s">
        <v>879</v>
      </c>
      <c r="AP948" s="92">
        <v>16</v>
      </c>
      <c r="AQ948" s="100">
        <v>400000</v>
      </c>
      <c r="AR948" s="92">
        <v>6</v>
      </c>
      <c r="AS948" s="92">
        <v>7</v>
      </c>
      <c r="AT948" s="92">
        <v>2</v>
      </c>
      <c r="AU948" s="92">
        <v>10</v>
      </c>
      <c r="AV948" s="99" t="s">
        <v>880</v>
      </c>
      <c r="AW948" s="1" t="s">
        <v>37</v>
      </c>
      <c r="AX948" s="1" t="s">
        <v>37</v>
      </c>
    </row>
    <row r="949" spans="40:50" x14ac:dyDescent="0.25">
      <c r="AN949" s="1" t="s">
        <v>680</v>
      </c>
      <c r="AO949" s="5" t="s">
        <v>35</v>
      </c>
      <c r="AP949" s="1">
        <v>1</v>
      </c>
      <c r="AQ949" s="2">
        <v>430000</v>
      </c>
      <c r="AR949" s="1">
        <v>6</v>
      </c>
      <c r="AS949" s="1">
        <v>6</v>
      </c>
      <c r="AT949" s="1">
        <v>3</v>
      </c>
      <c r="AU949" s="1">
        <v>10</v>
      </c>
      <c r="AV949" s="5" t="s">
        <v>513</v>
      </c>
      <c r="AW949" s="1" t="s">
        <v>37</v>
      </c>
      <c r="AX949" s="1" t="s">
        <v>37</v>
      </c>
    </row>
    <row r="950" spans="40:50" x14ac:dyDescent="0.25">
      <c r="AN950" s="1" t="s">
        <v>369</v>
      </c>
      <c r="AO950" s="5"/>
      <c r="AP950" s="1"/>
      <c r="AQ950" s="2"/>
      <c r="AR950" s="1"/>
      <c r="AS950" s="1"/>
      <c r="AT950" s="1"/>
      <c r="AU950" s="1"/>
      <c r="AV950"/>
      <c r="AW950" s="1"/>
      <c r="AX950" s="1"/>
    </row>
    <row r="951" spans="40:50" x14ac:dyDescent="0.25">
      <c r="AN951" s="1" t="s">
        <v>369</v>
      </c>
      <c r="AO951" s="5" t="s">
        <v>472</v>
      </c>
      <c r="AP951" s="1">
        <v>16</v>
      </c>
      <c r="AQ951" s="2">
        <v>40000</v>
      </c>
      <c r="AR951" s="1">
        <v>6</v>
      </c>
      <c r="AS951" s="1">
        <v>3</v>
      </c>
      <c r="AT951" s="1">
        <v>3</v>
      </c>
      <c r="AU951" s="1">
        <v>7</v>
      </c>
      <c r="AV951" t="s">
        <v>647</v>
      </c>
      <c r="AW951" s="1" t="s">
        <v>22</v>
      </c>
      <c r="AX951" s="1" t="s">
        <v>636</v>
      </c>
    </row>
    <row r="952" spans="40:50" x14ac:dyDescent="0.25">
      <c r="AN952" s="1" t="s">
        <v>369</v>
      </c>
      <c r="AO952" s="5" t="s">
        <v>369</v>
      </c>
      <c r="AP952" s="1">
        <v>6</v>
      </c>
      <c r="AQ952" s="2">
        <v>110000</v>
      </c>
      <c r="AR952" s="1">
        <v>6</v>
      </c>
      <c r="AS952" s="1">
        <v>4</v>
      </c>
      <c r="AT952" s="1">
        <v>4</v>
      </c>
      <c r="AU952" s="1">
        <v>8</v>
      </c>
      <c r="AV952" t="s">
        <v>630</v>
      </c>
      <c r="AW952" s="1" t="s">
        <v>641</v>
      </c>
      <c r="AX952" s="1" t="s">
        <v>324</v>
      </c>
    </row>
    <row r="953" spans="40:50" x14ac:dyDescent="0.25">
      <c r="AN953" s="1" t="s">
        <v>369</v>
      </c>
      <c r="AO953" s="5" t="s">
        <v>380</v>
      </c>
      <c r="AP953" s="1">
        <v>11</v>
      </c>
      <c r="AQ953" s="2">
        <v>40000</v>
      </c>
      <c r="AR953" s="1">
        <v>6</v>
      </c>
      <c r="AS953" s="1">
        <v>3</v>
      </c>
      <c r="AT953" s="1">
        <v>3</v>
      </c>
      <c r="AU953" s="1">
        <v>7</v>
      </c>
      <c r="AV953" t="s">
        <v>478</v>
      </c>
      <c r="AW953" s="1" t="s">
        <v>22</v>
      </c>
      <c r="AX953" s="1" t="s">
        <v>636</v>
      </c>
    </row>
    <row r="954" spans="40:50" x14ac:dyDescent="0.25">
      <c r="AN954" s="1" t="s">
        <v>369</v>
      </c>
      <c r="AO954" s="5" t="s">
        <v>30</v>
      </c>
      <c r="AP954" s="1">
        <v>1</v>
      </c>
      <c r="AQ954" s="2">
        <v>110000</v>
      </c>
      <c r="AR954" s="1">
        <v>6</v>
      </c>
      <c r="AS954" s="1">
        <v>3</v>
      </c>
      <c r="AT954" s="1">
        <v>3</v>
      </c>
      <c r="AU954" s="1">
        <v>8</v>
      </c>
      <c r="AV954" s="5" t="s">
        <v>516</v>
      </c>
      <c r="AW954" s="1" t="s">
        <v>37</v>
      </c>
      <c r="AX954" s="1" t="s">
        <v>37</v>
      </c>
    </row>
    <row r="955" spans="40:50" x14ac:dyDescent="0.25">
      <c r="AN955" s="1" t="s">
        <v>369</v>
      </c>
      <c r="AO955" s="5" t="s">
        <v>464</v>
      </c>
      <c r="AP955" s="1">
        <v>1</v>
      </c>
      <c r="AQ955" s="2">
        <v>120000</v>
      </c>
      <c r="AR955" s="1">
        <v>6</v>
      </c>
      <c r="AS955" s="1">
        <v>3</v>
      </c>
      <c r="AT955" s="1">
        <v>3</v>
      </c>
      <c r="AU955" s="1">
        <v>8</v>
      </c>
      <c r="AV955" s="5" t="s">
        <v>563</v>
      </c>
      <c r="AW955" s="1" t="s">
        <v>37</v>
      </c>
      <c r="AX955" s="1" t="s">
        <v>37</v>
      </c>
    </row>
    <row r="956" spans="40:50" x14ac:dyDescent="0.25">
      <c r="AN956" s="1" t="s">
        <v>369</v>
      </c>
      <c r="AO956" s="5" t="s">
        <v>766</v>
      </c>
      <c r="AP956" s="1">
        <v>1</v>
      </c>
      <c r="AQ956" s="2">
        <v>160000</v>
      </c>
      <c r="AR956" s="1">
        <v>7</v>
      </c>
      <c r="AS956" s="1">
        <v>3</v>
      </c>
      <c r="AT956" s="1">
        <v>3</v>
      </c>
      <c r="AU956" s="1">
        <v>7</v>
      </c>
      <c r="AV956" s="5" t="s">
        <v>772</v>
      </c>
      <c r="AW956" s="1" t="s">
        <v>37</v>
      </c>
      <c r="AX956" s="1" t="s">
        <v>37</v>
      </c>
    </row>
    <row r="957" spans="40:50" x14ac:dyDescent="0.25">
      <c r="AN957" s="1" t="s">
        <v>369</v>
      </c>
      <c r="AO957" s="5" t="s">
        <v>114</v>
      </c>
      <c r="AP957" s="1">
        <v>1</v>
      </c>
      <c r="AQ957" s="2">
        <v>180000</v>
      </c>
      <c r="AR957" s="1">
        <v>8</v>
      </c>
      <c r="AS957" s="1">
        <v>3</v>
      </c>
      <c r="AT957" s="1">
        <v>3</v>
      </c>
      <c r="AU957" s="1">
        <v>7</v>
      </c>
      <c r="AV957" s="5" t="s">
        <v>488</v>
      </c>
      <c r="AW957" s="1" t="s">
        <v>37</v>
      </c>
      <c r="AX957" s="1" t="s">
        <v>37</v>
      </c>
    </row>
    <row r="958" spans="40:50" x14ac:dyDescent="0.25">
      <c r="AN958" s="1" t="s">
        <v>369</v>
      </c>
      <c r="AO958" s="5" t="s">
        <v>294</v>
      </c>
      <c r="AP958" s="1">
        <v>1</v>
      </c>
      <c r="AQ958" s="2">
        <v>240000</v>
      </c>
      <c r="AR958" s="1">
        <v>8</v>
      </c>
      <c r="AS958" s="1">
        <v>4</v>
      </c>
      <c r="AT958" s="1">
        <v>3</v>
      </c>
      <c r="AU958" s="1">
        <v>8</v>
      </c>
      <c r="AV958" s="5" t="s">
        <v>566</v>
      </c>
      <c r="AW958" s="1" t="s">
        <v>37</v>
      </c>
      <c r="AX958" s="1" t="s">
        <v>37</v>
      </c>
    </row>
    <row r="959" spans="40:50" x14ac:dyDescent="0.25">
      <c r="AN959" s="1" t="s">
        <v>369</v>
      </c>
      <c r="AO959" s="5" t="s">
        <v>780</v>
      </c>
      <c r="AP959" s="1">
        <v>1</v>
      </c>
      <c r="AQ959" s="2">
        <v>280000</v>
      </c>
      <c r="AR959" s="1">
        <v>7</v>
      </c>
      <c r="AS959" s="1">
        <v>3</v>
      </c>
      <c r="AT959" s="1">
        <v>4</v>
      </c>
      <c r="AU959" s="1">
        <v>8</v>
      </c>
      <c r="AV959" s="5" t="s">
        <v>781</v>
      </c>
      <c r="AW959" s="1" t="s">
        <v>37</v>
      </c>
      <c r="AX959" s="1" t="s">
        <v>37</v>
      </c>
    </row>
    <row r="960" spans="40:50" x14ac:dyDescent="0.25">
      <c r="AN960" s="1" t="s">
        <v>369</v>
      </c>
      <c r="AO960" s="99" t="s">
        <v>867</v>
      </c>
      <c r="AP960" s="92">
        <v>1</v>
      </c>
      <c r="AQ960" s="100">
        <v>380000</v>
      </c>
      <c r="AR960" s="92">
        <v>5</v>
      </c>
      <c r="AS960" s="92">
        <v>6</v>
      </c>
      <c r="AT960" s="92">
        <v>2</v>
      </c>
      <c r="AU960" s="92">
        <v>10</v>
      </c>
      <c r="AV960" s="99" t="s">
        <v>865</v>
      </c>
      <c r="AW960" s="1" t="s">
        <v>37</v>
      </c>
      <c r="AX960" s="1" t="s">
        <v>37</v>
      </c>
    </row>
    <row r="961" spans="40:50" x14ac:dyDescent="0.25">
      <c r="AN961" s="1" t="s">
        <v>369</v>
      </c>
      <c r="AO961" s="5" t="s">
        <v>447</v>
      </c>
      <c r="AP961" s="1">
        <v>1</v>
      </c>
      <c r="AQ961" s="2">
        <v>390000</v>
      </c>
      <c r="AR961" s="1">
        <v>6</v>
      </c>
      <c r="AS961" s="1">
        <v>5</v>
      </c>
      <c r="AT961" s="1">
        <v>4</v>
      </c>
      <c r="AU961" s="1">
        <v>9</v>
      </c>
      <c r="AV961" s="5" t="s">
        <v>561</v>
      </c>
      <c r="AW961" s="1" t="s">
        <v>37</v>
      </c>
      <c r="AX961" s="1" t="s">
        <v>37</v>
      </c>
    </row>
    <row r="962" spans="40:50" x14ac:dyDescent="0.25">
      <c r="AN962" s="1" t="s">
        <v>369</v>
      </c>
      <c r="AO962" s="99" t="s">
        <v>879</v>
      </c>
      <c r="AP962" s="92">
        <v>16</v>
      </c>
      <c r="AQ962" s="100">
        <v>400000</v>
      </c>
      <c r="AR962" s="92">
        <v>6</v>
      </c>
      <c r="AS962" s="92">
        <v>7</v>
      </c>
      <c r="AT962" s="92">
        <v>2</v>
      </c>
      <c r="AU962" s="92">
        <v>10</v>
      </c>
      <c r="AV962" s="99" t="s">
        <v>880</v>
      </c>
      <c r="AW962" s="1" t="s">
        <v>37</v>
      </c>
      <c r="AX962" s="1" t="s">
        <v>37</v>
      </c>
    </row>
    <row r="963" spans="40:50" x14ac:dyDescent="0.25">
      <c r="AN963" s="1" t="s">
        <v>369</v>
      </c>
      <c r="AO963" s="5" t="s">
        <v>35</v>
      </c>
      <c r="AP963" s="1">
        <v>1</v>
      </c>
      <c r="AQ963" s="2">
        <v>430000</v>
      </c>
      <c r="AR963" s="1">
        <v>6</v>
      </c>
      <c r="AS963" s="1">
        <v>6</v>
      </c>
      <c r="AT963" s="1">
        <v>3</v>
      </c>
      <c r="AU963" s="1">
        <v>10</v>
      </c>
      <c r="AV963" s="5" t="s">
        <v>513</v>
      </c>
      <c r="AW963" s="1" t="s">
        <v>37</v>
      </c>
      <c r="AX963" s="1" t="s">
        <v>37</v>
      </c>
    </row>
  </sheetData>
  <sheetProtection algorithmName="SHA-512" hashValue="Gu5xXTdBY51aDEPs3fNQLFX9ujp8vOJZX6H7+ihz549SotLxLpJBCFexElesgrwM41oiLYllI+qsJ16Xu1s6rw==" saltValue="iLQ3BFA5fbilXRZ+GFYZcQ==" spinCount="100000" sheet="1" formatCells="0" formatRows="0" selectLockedCells="1"/>
  <autoFilter ref="AN1:AX963" xr:uid="{D5A77C65-4261-4A5A-83AD-8FA2F65F06B7}"/>
  <sortState xmlns:xlrd2="http://schemas.microsoft.com/office/spreadsheetml/2017/richdata2" ref="AO182:AV193">
    <sortCondition ref="AQ182:AQ193"/>
  </sortState>
  <mergeCells count="103">
    <mergeCell ref="O26:T26"/>
    <mergeCell ref="W26:X26"/>
    <mergeCell ref="AK76:AL76"/>
    <mergeCell ref="G24:I24"/>
    <mergeCell ref="G25:I25"/>
    <mergeCell ref="O24:T24"/>
    <mergeCell ref="W24:X24"/>
    <mergeCell ref="AK63:AL63"/>
    <mergeCell ref="I36:M36"/>
    <mergeCell ref="I35:M35"/>
    <mergeCell ref="I37:M37"/>
    <mergeCell ref="I38:M38"/>
    <mergeCell ref="I39:M39"/>
    <mergeCell ref="T37:V37"/>
    <mergeCell ref="T38:V38"/>
    <mergeCell ref="T39:V39"/>
    <mergeCell ref="W38:Y38"/>
    <mergeCell ref="W39:Y39"/>
    <mergeCell ref="I8:O8"/>
    <mergeCell ref="I9:O9"/>
    <mergeCell ref="I10:O10"/>
    <mergeCell ref="I11:O11"/>
    <mergeCell ref="I14:O14"/>
    <mergeCell ref="I12:O12"/>
    <mergeCell ref="A18:C18"/>
    <mergeCell ref="A19:C19"/>
    <mergeCell ref="A20:C20"/>
    <mergeCell ref="A21:C21"/>
    <mergeCell ref="I13:O13"/>
    <mergeCell ref="O19:T19"/>
    <mergeCell ref="O20:T20"/>
    <mergeCell ref="I15:O15"/>
    <mergeCell ref="I16:O16"/>
    <mergeCell ref="I17:O17"/>
    <mergeCell ref="O18:T18"/>
    <mergeCell ref="G18:I18"/>
    <mergeCell ref="G19:I19"/>
    <mergeCell ref="G20:I20"/>
    <mergeCell ref="D18:F18"/>
    <mergeCell ref="D19:F19"/>
    <mergeCell ref="D21:F21"/>
    <mergeCell ref="G21:I21"/>
    <mergeCell ref="D20:F20"/>
    <mergeCell ref="I31:M31"/>
    <mergeCell ref="I32:M32"/>
    <mergeCell ref="A25:F26"/>
    <mergeCell ref="G26:I26"/>
    <mergeCell ref="I33:M33"/>
    <mergeCell ref="I34:M34"/>
    <mergeCell ref="B28:O28"/>
    <mergeCell ref="I29:M29"/>
    <mergeCell ref="I30:M30"/>
    <mergeCell ref="B29:C29"/>
    <mergeCell ref="B30:C30"/>
    <mergeCell ref="B31:C31"/>
    <mergeCell ref="B32:C32"/>
    <mergeCell ref="B33:C33"/>
    <mergeCell ref="I6:O6"/>
    <mergeCell ref="I7:O7"/>
    <mergeCell ref="I1:O1"/>
    <mergeCell ref="I2:O2"/>
    <mergeCell ref="I3:O3"/>
    <mergeCell ref="I4:O4"/>
    <mergeCell ref="I5:O5"/>
    <mergeCell ref="W25:X25"/>
    <mergeCell ref="G23:I23"/>
    <mergeCell ref="W18:X18"/>
    <mergeCell ref="W19:X19"/>
    <mergeCell ref="W20:X20"/>
    <mergeCell ref="W21:X21"/>
    <mergeCell ref="O21:T21"/>
    <mergeCell ref="O25:T25"/>
    <mergeCell ref="W22:X22"/>
    <mergeCell ref="O22:T22"/>
    <mergeCell ref="O23:T23"/>
    <mergeCell ref="W23:X23"/>
    <mergeCell ref="G22:I22"/>
    <mergeCell ref="U35:W35"/>
    <mergeCell ref="R38:S38"/>
    <mergeCell ref="R39:S39"/>
    <mergeCell ref="R28:W28"/>
    <mergeCell ref="R29:T31"/>
    <mergeCell ref="R32:T33"/>
    <mergeCell ref="R34:T35"/>
    <mergeCell ref="W37:Y37"/>
    <mergeCell ref="U34:W34"/>
    <mergeCell ref="U29:W29"/>
    <mergeCell ref="U30:W30"/>
    <mergeCell ref="U31:W31"/>
    <mergeCell ref="U32:W32"/>
    <mergeCell ref="U33:W33"/>
    <mergeCell ref="A22:C22"/>
    <mergeCell ref="B39:C39"/>
    <mergeCell ref="B34:C34"/>
    <mergeCell ref="B35:C35"/>
    <mergeCell ref="B36:C36"/>
    <mergeCell ref="B37:C37"/>
    <mergeCell ref="B38:C38"/>
    <mergeCell ref="D24:F24"/>
    <mergeCell ref="D23:F23"/>
    <mergeCell ref="A23:C23"/>
    <mergeCell ref="A24:C24"/>
    <mergeCell ref="D22:F22"/>
  </mergeCells>
  <conditionalFormatting sqref="AF2:AF17">
    <cfRule type="expression" dxfId="4" priority="148" stopIfTrue="1">
      <formula>P2&lt;&gt;""</formula>
    </cfRule>
  </conditionalFormatting>
  <conditionalFormatting sqref="AH2:AH17">
    <cfRule type="expression" dxfId="3" priority="146" stopIfTrue="1">
      <formula>#REF!&lt;&gt;""</formula>
    </cfRule>
  </conditionalFormatting>
  <conditionalFormatting sqref="Z2:Z17">
    <cfRule type="expression" dxfId="2" priority="150" stopIfTrue="1">
      <formula>P2&lt;&gt;""</formula>
    </cfRule>
  </conditionalFormatting>
  <conditionalFormatting sqref="C2">
    <cfRule type="expression" dxfId="1" priority="2">
      <formula>IF(COUNTIF($D$2:$D$17,D2)&gt;C2,TRUE,FALSE)</formula>
    </cfRule>
  </conditionalFormatting>
  <conditionalFormatting sqref="C3:C17">
    <cfRule type="expression" dxfId="0" priority="1">
      <formula>IF(COUNTIF($D$2:$D$17,D3)&gt;C3,TRUE,FALSE)</formula>
    </cfRule>
  </conditionalFormatting>
  <dataValidations count="12">
    <dataValidation type="list" allowBlank="1" showInputMessage="1" showErrorMessage="1" sqref="J18" xr:uid="{00000000-0002-0000-0000-000000000000}">
      <formula1>"0,1,2"</formula1>
    </dataValidation>
    <dataValidation type="list" allowBlank="1" showInputMessage="1" showErrorMessage="1" sqref="J19" xr:uid="{00000000-0002-0000-0000-000001000000}">
      <formula1>"0,1,2,3"</formula1>
    </dataValidation>
    <dataValidation type="list" allowBlank="1" showInputMessage="1" showErrorMessage="1" sqref="J20" xr:uid="{00000000-0002-0000-0000-000002000000}">
      <formula1>"0,1,2,3,4"</formula1>
    </dataValidation>
    <dataValidation type="list" allowBlank="1" showInputMessage="1" showErrorMessage="1" sqref="J21:J23 U22:U23" xr:uid="{00000000-0002-0000-0000-000003000000}">
      <formula1>"0,1"</formula1>
    </dataValidation>
    <dataValidation type="list" allowBlank="1" showInputMessage="1" showErrorMessage="1" sqref="O23:T23" xr:uid="{00000000-0002-0000-0000-000004000000}">
      <formula1>IF($D$24="English",INFAMOUS,INFAME)</formula1>
    </dataValidation>
    <dataValidation type="list" allowBlank="1" showInputMessage="1" showErrorMessage="1" sqref="D19:F19" xr:uid="{00000000-0002-0000-0000-000005000000}">
      <formula1>IF($D$24="English",RACE,RAZA)</formula1>
    </dataValidation>
    <dataValidation type="list" allowBlank="1" showInputMessage="1" showErrorMessage="1" sqref="G23:I23" xr:uid="{00000000-0002-0000-0000-000007000000}">
      <formula1>IF($D$24="English",WIZARDS,HECHICEROS)</formula1>
    </dataValidation>
    <dataValidation type="list" allowBlank="1" showInputMessage="1" showErrorMessage="1" sqref="D24:F24" xr:uid="{00000000-0002-0000-0000-000006000000}">
      <formula1>IDIOMAS</formula1>
    </dataValidation>
    <dataValidation type="list" allowBlank="1" showInputMessage="1" showErrorMessage="1" sqref="U24" xr:uid="{EB2AD9F8-4CCA-4829-A47D-A7874E411D74}">
      <formula1>OFFSET($AM$1,0,0,VLOOKUP($O$24,$AK$95:$AM$266,3,0)+1,1)</formula1>
    </dataValidation>
    <dataValidation type="list" allowBlank="1" showInputMessage="1" showErrorMessage="1" sqref="U25" xr:uid="{CA3229F7-81B3-4415-BBBE-ED9492D5F8D6}">
      <formula1>OFFSET($AM$1,0,0,VLOOKUP($O$25,$AK$95:$AM$266,3,0)+1,1)</formula1>
    </dataValidation>
    <dataValidation type="list" allowBlank="1" showInputMessage="1" showErrorMessage="1" sqref="U26" xr:uid="{89340ABB-2EE0-4862-A911-655DA6F09AC1}">
      <formula1>OFFSET($AM$1,0,0,VLOOKUP($O$26,$AK$95:$AM$266,3,0)+1,1)</formula1>
    </dataValidation>
    <dataValidation type="list" allowBlank="1" showInputMessage="1" showErrorMessage="1" sqref="D2:D17" xr:uid="{00000000-0002-0000-0000-000008000000}">
      <formula1>OFFSET($AN$1,MATCH($D$19,$AN$2:$AN$963,0),1,COUNTIF($AN$2:$AN$963,$D$19),1)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ignoredErrors>
    <ignoredError sqref="C2:C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Hall">
              <controlPr defaultSize="0" print="0" autoFill="0" autoPict="0" macro="[0]!Add_to_Hall_of_Fame">
                <anchor moveWithCells="1" sizeWithCells="1">
                  <from>
                    <xdr:col>25</xdr:col>
                    <xdr:colOff>66675</xdr:colOff>
                    <xdr:row>27</xdr:row>
                    <xdr:rowOff>57150</xdr:rowOff>
                  </from>
                  <to>
                    <xdr:col>25</xdr:col>
                    <xdr:colOff>466725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Improvement">
              <controlPr defaultSize="0" print="0" autoFill="0" autoPict="0" macro="[0]!Add_Improvement_Roll">
                <anchor moveWithCells="1" sizeWithCells="1">
                  <from>
                    <xdr:col>25</xdr:col>
                    <xdr:colOff>66675</xdr:colOff>
                    <xdr:row>30</xdr:row>
                    <xdr:rowOff>161925</xdr:rowOff>
                  </from>
                  <to>
                    <xdr:col>25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>
    <pageSetUpPr fitToPage="1"/>
  </sheetPr>
  <dimension ref="A1:L134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8" style="65" customWidth="1"/>
    <col min="2" max="2" width="4.42578125" style="65" customWidth="1"/>
    <col min="3" max="3" width="9.85546875" style="65" bestFit="1" customWidth="1"/>
    <col min="4" max="4" width="21" style="65" bestFit="1" customWidth="1"/>
    <col min="5" max="5" width="12.5703125" style="65" customWidth="1"/>
    <col min="6" max="6" width="3.5703125" style="65" customWidth="1"/>
    <col min="7" max="9" width="3.85546875" style="65" bestFit="1" customWidth="1"/>
    <col min="10" max="11" width="8.5703125" style="65" customWidth="1"/>
    <col min="12" max="12" width="56.140625" style="65" customWidth="1"/>
    <col min="13" max="16384" width="11.42578125" style="65"/>
  </cols>
  <sheetData>
    <row r="1" spans="1:12" x14ac:dyDescent="0.25">
      <c r="A1" s="156" t="str">
        <f>IF(Roster!$D$24="English","Season","Temp.")</f>
        <v>Temp.</v>
      </c>
      <c r="B1" s="154" t="s">
        <v>74</v>
      </c>
      <c r="C1" s="156" t="str">
        <f>IF(Roster!$D$24="English","Results","Resultados")</f>
        <v>Resultados</v>
      </c>
      <c r="D1" s="154" t="str">
        <f>IF(Roster!$D$24="English","Opponent","Contrario")</f>
        <v>Contrario</v>
      </c>
      <c r="E1" s="154" t="str">
        <f>IF(Roster!$D$24="English","Race","Raza")</f>
        <v>Raza</v>
      </c>
      <c r="F1" s="158" t="s">
        <v>683</v>
      </c>
      <c r="G1" s="159"/>
      <c r="H1" s="158" t="str">
        <f>IF(Roster!$D$24="English","Cas","Bajas")</f>
        <v>Bajas</v>
      </c>
      <c r="I1" s="159"/>
      <c r="J1" s="154" t="str">
        <f>IF(Roster!$D$24="English","Gate","Entrada")</f>
        <v>Entrada</v>
      </c>
      <c r="K1" s="154" t="str">
        <f>IF(Roster!$D$24="English","Winnings","Ganancias")</f>
        <v>Ganancias</v>
      </c>
      <c r="L1" s="154" t="str">
        <f>IF(Roster!$D$24="English","Notes &amp; Highlights","Comentarios")</f>
        <v>Comentarios</v>
      </c>
    </row>
    <row r="2" spans="1:12" ht="15.75" thickBot="1" x14ac:dyDescent="0.3">
      <c r="A2" s="157"/>
      <c r="B2" s="155"/>
      <c r="C2" s="157"/>
      <c r="D2" s="155"/>
      <c r="E2" s="155"/>
      <c r="F2" s="59" t="str">
        <f>IF(Roster!$D$24="English","for","fav")</f>
        <v>fav</v>
      </c>
      <c r="G2" s="60" t="str">
        <f>IF(Roster!$D$24="English","aga","con")</f>
        <v>con</v>
      </c>
      <c r="H2" s="59" t="str">
        <f>IF(Roster!$D$24="English","for","fav")</f>
        <v>fav</v>
      </c>
      <c r="I2" s="60" t="str">
        <f>IF(Roster!$D$24="English","aga","con")</f>
        <v>con</v>
      </c>
      <c r="J2" s="155"/>
      <c r="K2" s="155"/>
      <c r="L2" s="155"/>
    </row>
    <row r="3" spans="1:12" x14ac:dyDescent="0.25">
      <c r="A3" s="31"/>
      <c r="B3" s="83" t="str">
        <f>IF(D3="",IF(E3="",IF(F3="",IF(G3="",IF(H3="",IF(I3="",IF(J3="",IF(K3="","",1),1),1),1),1),1),1),1)</f>
        <v/>
      </c>
      <c r="C3" s="84" t="str">
        <f>IF(F3="","",IF(G3="","",IF(Roster!$D$24="English",IF(F3&gt;G3,"Won",IF(F3=G3,"Tied","Lost")),IF(F3&gt;G3,"Victoria",IF(F3=G3,"Empate","Derrota")))))</f>
        <v/>
      </c>
      <c r="D3" s="31"/>
      <c r="E3" s="32"/>
      <c r="F3" s="33"/>
      <c r="G3" s="34"/>
      <c r="H3" s="33"/>
      <c r="I3" s="34"/>
      <c r="J3" s="35"/>
      <c r="K3" s="36"/>
      <c r="L3" s="94"/>
    </row>
    <row r="4" spans="1:12" x14ac:dyDescent="0.25">
      <c r="A4" s="31"/>
      <c r="B4" s="84" t="str">
        <f>IF(D4="",IF(E4="",IF(F4="",IF(G4="",IF(H4="",IF(I4="",IF(J4="",IF(K4="","",2),2),2),2),2),2),2),2)</f>
        <v/>
      </c>
      <c r="C4" s="84" t="str">
        <f>IF(F4="","",IF(G4="","",IF(Roster!$D$24="English",IF(F4&gt;G4,"Won",IF(F4=G4,"Tied","Lost")),IF(F4&gt;G4,"Victoria",IF(F4=G4,"Empate","Derrota")))))</f>
        <v/>
      </c>
      <c r="D4" s="31"/>
      <c r="E4" s="31"/>
      <c r="F4" s="37"/>
      <c r="G4" s="38"/>
      <c r="H4" s="37"/>
      <c r="I4" s="38"/>
      <c r="J4" s="39"/>
      <c r="K4" s="40"/>
      <c r="L4" s="95"/>
    </row>
    <row r="5" spans="1:12" x14ac:dyDescent="0.25">
      <c r="A5" s="31"/>
      <c r="B5" s="84" t="str">
        <f>IF(D5="",IF(E5="",IF(F5="",IF(G5="",IF(H5="",IF(I5="",IF(J5="",IF(K5="","",3),3),3),3),3),3),3),3)</f>
        <v/>
      </c>
      <c r="C5" s="84" t="str">
        <f>IF(F5="","",IF(G5="","",IF(Roster!$D$24="English",IF(F5&gt;G5,"Won",IF(F5=G5,"Tied","Lost")),IF(F5&gt;G5,"Victoria",IF(F5=G5,"Empate","Derrota")))))</f>
        <v/>
      </c>
      <c r="D5" s="31"/>
      <c r="E5" s="31"/>
      <c r="F5" s="37"/>
      <c r="G5" s="38"/>
      <c r="H5" s="37"/>
      <c r="I5" s="38"/>
      <c r="J5" s="39"/>
      <c r="K5" s="40"/>
      <c r="L5" s="95"/>
    </row>
    <row r="6" spans="1:12" x14ac:dyDescent="0.25">
      <c r="A6" s="31"/>
      <c r="B6" s="84" t="str">
        <f>IF(D6="",IF(E6="",IF(F6="",IF(G6="",IF(H6="",IF(I6="",IF(J6="",IF(K6="","",4),4),4),4),4),4),4),4)</f>
        <v/>
      </c>
      <c r="C6" s="84" t="str">
        <f>IF(F6="","",IF(G6="","",IF(Roster!$D$24="English",IF(F6&gt;G6,"Won",IF(F6=G6,"Tied","Lost")),IF(F6&gt;G6,"Victoria",IF(F6=G6,"Empate","Derrota")))))</f>
        <v/>
      </c>
      <c r="D6" s="31"/>
      <c r="E6" s="31"/>
      <c r="F6" s="37"/>
      <c r="G6" s="38"/>
      <c r="H6" s="37"/>
      <c r="I6" s="38"/>
      <c r="J6" s="39"/>
      <c r="K6" s="40"/>
      <c r="L6" s="95"/>
    </row>
    <row r="7" spans="1:12" x14ac:dyDescent="0.25">
      <c r="A7" s="31"/>
      <c r="B7" s="84" t="str">
        <f>IF(D7="",IF(E7="",IF(F7="",IF(G7="",IF(H7="",IF(I7="",IF(J7="",IF(K7="","",5),5),5),5),5),5),5),5)</f>
        <v/>
      </c>
      <c r="C7" s="84" t="str">
        <f>IF(F7="","",IF(G7="","",IF(Roster!$D$24="English",IF(F7&gt;G7,"Won",IF(F7=G7,"Tied","Lost")),IF(F7&gt;G7,"Victoria",IF(F7=G7,"Empate","Derrota")))))</f>
        <v/>
      </c>
      <c r="D7" s="31"/>
      <c r="E7" s="31"/>
      <c r="F7" s="37"/>
      <c r="G7" s="38"/>
      <c r="H7" s="37"/>
      <c r="I7" s="38"/>
      <c r="J7" s="39"/>
      <c r="K7" s="40"/>
      <c r="L7" s="95"/>
    </row>
    <row r="8" spans="1:12" x14ac:dyDescent="0.25">
      <c r="A8" s="31"/>
      <c r="B8" s="84" t="str">
        <f>IF(D8="",IF(E8="",IF(F8="",IF(G8="",IF(H8="",IF(I8="",IF(J8="",IF(K8="","",6),6),6),6),6),6),6),6)</f>
        <v/>
      </c>
      <c r="C8" s="84" t="str">
        <f>IF(F8="","",IF(G8="","",IF(Roster!$D$24="English",IF(F8&gt;G8,"Won",IF(F8=G8,"Tied","Lost")),IF(F8&gt;G8,"Victoria",IF(F8=G8,"Empate","Derrota")))))</f>
        <v/>
      </c>
      <c r="D8" s="31"/>
      <c r="E8" s="31"/>
      <c r="F8" s="37"/>
      <c r="G8" s="38"/>
      <c r="H8" s="37"/>
      <c r="I8" s="38"/>
      <c r="J8" s="39"/>
      <c r="K8" s="40"/>
      <c r="L8" s="95"/>
    </row>
    <row r="9" spans="1:12" x14ac:dyDescent="0.25">
      <c r="A9" s="31"/>
      <c r="B9" s="84" t="str">
        <f>IF(D9="",IF(E9="",IF(F9="",IF(G9="",IF(H9="",IF(I9="",IF(J9="",IF(K9="","",7),7),7),7),7),7),7),7)</f>
        <v/>
      </c>
      <c r="C9" s="84" t="str">
        <f>IF(F9="","",IF(G9="","",IF(Roster!$D$24="English",IF(F9&gt;G9,"Won",IF(F9=G9,"Tied","Lost")),IF(F9&gt;G9,"Victoria",IF(F9=G9,"Empate","Derrota")))))</f>
        <v/>
      </c>
      <c r="D9" s="31"/>
      <c r="E9" s="41"/>
      <c r="F9" s="37"/>
      <c r="G9" s="38"/>
      <c r="H9" s="37"/>
      <c r="I9" s="38"/>
      <c r="J9" s="39"/>
      <c r="K9" s="40"/>
      <c r="L9" s="95"/>
    </row>
    <row r="10" spans="1:12" x14ac:dyDescent="0.25">
      <c r="A10" s="31"/>
      <c r="B10" s="84" t="str">
        <f>IF(D10="",IF(E10="",IF(F10="",IF(G10="",IF(H10="",IF(I10="",IF(J10="",IF(K10="","",8),8),8),8),8),8),8),8)</f>
        <v/>
      </c>
      <c r="C10" s="84" t="str">
        <f>IF(F10="","",IF(G10="","",IF(Roster!$D$24="English",IF(F10&gt;G10,"Won",IF(F10=G10,"Tied","Lost")),IF(F10&gt;G10,"Victoria",IF(F10=G10,"Empate","Derrota")))))</f>
        <v/>
      </c>
      <c r="D10" s="31"/>
      <c r="E10" s="31"/>
      <c r="F10" s="37"/>
      <c r="G10" s="38"/>
      <c r="H10" s="37"/>
      <c r="I10" s="38"/>
      <c r="J10" s="39"/>
      <c r="K10" s="40"/>
      <c r="L10" s="95"/>
    </row>
    <row r="11" spans="1:12" x14ac:dyDescent="0.25">
      <c r="A11" s="31"/>
      <c r="B11" s="84" t="str">
        <f>IF(D11="",IF(E11="",IF(F11="",IF(G11="",IF(H11="",IF(I11="",IF(J11="",IF(K11="","",9),9),9),9),9),9),9),9)</f>
        <v/>
      </c>
      <c r="C11" s="84" t="str">
        <f>IF(F11="","",IF(G11="","",IF(Roster!$D$24="English",IF(F11&gt;G11,"Won",IF(F11=G11,"Tied","Lost")),IF(F11&gt;G11,"Victoria",IF(F11=G11,"Empate","Derrota")))))</f>
        <v/>
      </c>
      <c r="D11" s="31"/>
      <c r="E11" s="31"/>
      <c r="F11" s="37"/>
      <c r="G11" s="38"/>
      <c r="H11" s="37"/>
      <c r="I11" s="38"/>
      <c r="J11" s="39"/>
      <c r="K11" s="40"/>
      <c r="L11" s="95"/>
    </row>
    <row r="12" spans="1:12" x14ac:dyDescent="0.25">
      <c r="A12" s="31"/>
      <c r="B12" s="84" t="str">
        <f>IF(D12="",IF(E12="",IF(F12="",IF(G12="",IF(H12="",IF(I12="",IF(J12="",IF(K12="","",10),10),10),10),10),10),10),10)</f>
        <v/>
      </c>
      <c r="C12" s="84" t="str">
        <f>IF(F12="","",IF(G12="","",IF(Roster!$D$24="English",IF(F12&gt;G12,"Won",IF(F12=G12,"Tied","Lost")),IF(F12&gt;G12,"Victoria",IF(F12=G12,"Empate","Derrota")))))</f>
        <v/>
      </c>
      <c r="D12" s="31"/>
      <c r="E12" s="31"/>
      <c r="F12" s="37"/>
      <c r="G12" s="38"/>
      <c r="H12" s="37"/>
      <c r="I12" s="38"/>
      <c r="J12" s="39"/>
      <c r="K12" s="40"/>
      <c r="L12" s="95"/>
    </row>
    <row r="13" spans="1:12" x14ac:dyDescent="0.25">
      <c r="A13" s="31"/>
      <c r="B13" s="84" t="str">
        <f>IF(D13="",IF(E13="",IF(F13="",IF(G13="",IF(H13="",IF(I13="",IF(J13="",IF(K13="","",11),11),11),11),11),11),11),11)</f>
        <v/>
      </c>
      <c r="C13" s="84" t="str">
        <f>IF(F13="","",IF(G13="","",IF(Roster!$D$24="English",IF(F13&gt;G13,"Won",IF(F13=G13,"Tied","Lost")),IF(F13&gt;G13,"Victoria",IF(F13=G13,"Empate","Derrota")))))</f>
        <v/>
      </c>
      <c r="D13" s="31"/>
      <c r="E13" s="31"/>
      <c r="F13" s="37"/>
      <c r="G13" s="38"/>
      <c r="H13" s="37"/>
      <c r="I13" s="38"/>
      <c r="J13" s="39"/>
      <c r="K13" s="40"/>
      <c r="L13" s="95"/>
    </row>
    <row r="14" spans="1:12" x14ac:dyDescent="0.25">
      <c r="A14" s="31"/>
      <c r="B14" s="84" t="str">
        <f>IF(D14="",IF(E14="",IF(F14="",IF(G14="",IF(H14="",IF(I14="",IF(J14="",IF(K14="","",12),12),12),12),12),12),12),12)</f>
        <v/>
      </c>
      <c r="C14" s="84" t="str">
        <f>IF(F14="","",IF(G14="","",IF(Roster!$D$24="English",IF(F14&gt;G14,"Won",IF(F14=G14,"Tied","Lost")),IF(F14&gt;G14,"Victoria",IF(F14=G14,"Empate","Derrota")))))</f>
        <v/>
      </c>
      <c r="D14" s="31"/>
      <c r="E14" s="31"/>
      <c r="F14" s="37"/>
      <c r="G14" s="38"/>
      <c r="H14" s="37"/>
      <c r="I14" s="38"/>
      <c r="J14" s="39"/>
      <c r="K14" s="40"/>
      <c r="L14" s="95"/>
    </row>
    <row r="15" spans="1:12" x14ac:dyDescent="0.25">
      <c r="A15" s="31"/>
      <c r="B15" s="84" t="str">
        <f>IF(D15="",IF(E15="",IF(F15="",IF(G15="",IF(H15="",IF(I15="",IF(J15="",IF(K15="","",13),13),13),13),13),13),13),13)</f>
        <v/>
      </c>
      <c r="C15" s="84" t="str">
        <f>IF(F15="","",IF(G15="","",IF(Roster!$D$24="English",IF(F15&gt;G15,"Won",IF(F15=G15,"Tied","Lost")),IF(F15&gt;G15,"Victoria",IF(F15=G15,"Empate","Derrota")))))</f>
        <v/>
      </c>
      <c r="D15" s="31"/>
      <c r="E15" s="31"/>
      <c r="F15" s="37"/>
      <c r="G15" s="38"/>
      <c r="H15" s="37"/>
      <c r="I15" s="38"/>
      <c r="J15" s="39"/>
      <c r="K15" s="40"/>
      <c r="L15" s="95"/>
    </row>
    <row r="16" spans="1:12" x14ac:dyDescent="0.25">
      <c r="A16" s="31"/>
      <c r="B16" s="84" t="str">
        <f>IF(D16="",IF(E16="",IF(F16="",IF(G16="",IF(H16="",IF(I16="",IF(J16="",IF(K16="","",14),14),14),14),14),14),14),14)</f>
        <v/>
      </c>
      <c r="C16" s="84" t="str">
        <f>IF(F16="","",IF(G16="","",IF(Roster!$D$24="English",IF(F16&gt;G16,"Won",IF(F16=G16,"Tied","Lost")),IF(F16&gt;G16,"Victoria",IF(F16=G16,"Empate","Derrota")))))</f>
        <v/>
      </c>
      <c r="D16" s="31"/>
      <c r="E16" s="31"/>
      <c r="F16" s="37"/>
      <c r="G16" s="38"/>
      <c r="H16" s="37"/>
      <c r="I16" s="38"/>
      <c r="J16" s="39"/>
      <c r="K16" s="40"/>
      <c r="L16" s="95"/>
    </row>
    <row r="17" spans="1:12" x14ac:dyDescent="0.25">
      <c r="A17" s="31"/>
      <c r="B17" s="84" t="str">
        <f>IF(D17="",IF(E17="",IF(F17="",IF(G17="",IF(H17="",IF(I17="",IF(J17="",IF(K17="","",15),15),15),15),15),15),15),15)</f>
        <v/>
      </c>
      <c r="C17" s="84" t="str">
        <f>IF(F17="","",IF(G17="","",IF(Roster!$D$24="English",IF(F17&gt;G17,"Won",IF(F17=G17,"Tied","Lost")),IF(F17&gt;G17,"Victoria",IF(F17=G17,"Empate","Derrota")))))</f>
        <v/>
      </c>
      <c r="D17" s="31"/>
      <c r="E17" s="31"/>
      <c r="F17" s="37"/>
      <c r="G17" s="38"/>
      <c r="H17" s="37"/>
      <c r="I17" s="38"/>
      <c r="J17" s="39"/>
      <c r="K17" s="40"/>
      <c r="L17" s="95"/>
    </row>
    <row r="18" spans="1:12" x14ac:dyDescent="0.25">
      <c r="A18" s="31"/>
      <c r="B18" s="84" t="str">
        <f>IF(D18="",IF(E18="",IF(F18="",IF(G18="",IF(H18="",IF(I18="",IF(J18="",IF(K18="","",16),16),16),16),16),16),16),16)</f>
        <v/>
      </c>
      <c r="C18" s="84" t="str">
        <f>IF(F18="","",IF(G18="","",IF(Roster!$D$24="English",IF(F18&gt;G18,"Won",IF(F18=G18,"Tied","Lost")),IF(F18&gt;G18,"Victoria",IF(F18=G18,"Empate","Derrota")))))</f>
        <v/>
      </c>
      <c r="D18" s="31"/>
      <c r="E18" s="31"/>
      <c r="F18" s="37"/>
      <c r="G18" s="38"/>
      <c r="H18" s="37"/>
      <c r="I18" s="38"/>
      <c r="J18" s="39"/>
      <c r="K18" s="40"/>
      <c r="L18" s="95"/>
    </row>
    <row r="19" spans="1:12" x14ac:dyDescent="0.25">
      <c r="A19" s="31"/>
      <c r="B19" s="84" t="str">
        <f>IF(D19="",IF(E19="",IF(F19="",IF(G19="",IF(H19="",IF(I19="",IF(J19="",IF(K19="","",17),17),17),17),17),17),17),17)</f>
        <v/>
      </c>
      <c r="C19" s="84" t="str">
        <f>IF(F19="","",IF(G19="","",IF(Roster!$D$24="English",IF(F19&gt;G19,"Won",IF(F19=G19,"Tied","Lost")),IF(F19&gt;G19,"Victoria",IF(F19=G19,"Empate","Derrota")))))</f>
        <v/>
      </c>
      <c r="D19" s="31"/>
      <c r="E19" s="31"/>
      <c r="F19" s="37"/>
      <c r="G19" s="38"/>
      <c r="H19" s="37"/>
      <c r="I19" s="38"/>
      <c r="J19" s="39"/>
      <c r="K19" s="40"/>
      <c r="L19" s="95"/>
    </row>
    <row r="20" spans="1:12" x14ac:dyDescent="0.25">
      <c r="A20" s="31"/>
      <c r="B20" s="84" t="str">
        <f>IF(D20="",IF(E20="",IF(F20="",IF(G20="",IF(H20="",IF(I20="",IF(J20="",IF(K20="","",18),18),18),18),18),18),18),18)</f>
        <v/>
      </c>
      <c r="C20" s="84" t="str">
        <f>IF(F20="","",IF(G20="","",IF(Roster!$D$24="English",IF(F20&gt;G20,"Won",IF(F20=G20,"Tied","Lost")),IF(F20&gt;G20,"Victoria",IF(F20=G20,"Empate","Derrota")))))</f>
        <v/>
      </c>
      <c r="D20" s="31"/>
      <c r="E20" s="31"/>
      <c r="F20" s="37"/>
      <c r="G20" s="38"/>
      <c r="H20" s="37"/>
      <c r="I20" s="38"/>
      <c r="J20" s="39"/>
      <c r="K20" s="40"/>
      <c r="L20" s="95"/>
    </row>
    <row r="21" spans="1:12" x14ac:dyDescent="0.25">
      <c r="A21" s="31"/>
      <c r="B21" s="84" t="str">
        <f>IF(D21="",IF(E21="",IF(F21="",IF(G21="",IF(H21="",IF(I21="",IF(J21="",IF(K21="","",19),19),19),19),19),19),19),19)</f>
        <v/>
      </c>
      <c r="C21" s="84" t="str">
        <f>IF(F21="","",IF(G21="","",IF(Roster!$D$24="English",IF(F21&gt;G21,"Won",IF(F21=G21,"Tied","Lost")),IF(F21&gt;G21,"Victoria",IF(F21=G21,"Empate","Derrota")))))</f>
        <v/>
      </c>
      <c r="D21" s="31"/>
      <c r="E21" s="41"/>
      <c r="F21" s="37"/>
      <c r="G21" s="38"/>
      <c r="H21" s="37"/>
      <c r="I21" s="38"/>
      <c r="J21" s="39"/>
      <c r="K21" s="40"/>
      <c r="L21" s="95"/>
    </row>
    <row r="22" spans="1:12" x14ac:dyDescent="0.25">
      <c r="A22" s="31"/>
      <c r="B22" s="84" t="str">
        <f>IF(D22="",IF(E22="",IF(F22="",IF(G22="",IF(H22="",IF(I22="",IF(J22="",IF(K22="","",20),20),20),20),20),20),20),20)</f>
        <v/>
      </c>
      <c r="C22" s="84" t="str">
        <f>IF(F22="","",IF(G22="","",IF(Roster!$D$24="English",IF(F22&gt;G22,"Won",IF(F22=G22,"Tied","Lost")),IF(F22&gt;G22,"Victoria",IF(F22=G22,"Empate","Derrota")))))</f>
        <v/>
      </c>
      <c r="D22" s="31"/>
      <c r="E22" s="31"/>
      <c r="F22" s="37"/>
      <c r="G22" s="38"/>
      <c r="H22" s="37"/>
      <c r="I22" s="38"/>
      <c r="J22" s="39"/>
      <c r="K22" s="40"/>
      <c r="L22" s="95"/>
    </row>
    <row r="23" spans="1:12" x14ac:dyDescent="0.25">
      <c r="A23" s="31"/>
      <c r="B23" s="84" t="str">
        <f>IF(D23="",IF(E23="",IF(F23="",IF(G23="",IF(H23="",IF(I23="",IF(J23="",IF(K23="","",21),21),21),21),21),21),21),21)</f>
        <v/>
      </c>
      <c r="C23" s="84" t="str">
        <f>IF(F23="","",IF(G23="","",IF(Roster!$D$24="English",IF(F23&gt;G23,"Won",IF(F23=G23,"Tied","Lost")),IF(F23&gt;G23,"Victoria",IF(F23=G23,"Empate","Derrota")))))</f>
        <v/>
      </c>
      <c r="D23" s="31"/>
      <c r="E23" s="31"/>
      <c r="F23" s="37"/>
      <c r="G23" s="38"/>
      <c r="H23" s="37"/>
      <c r="I23" s="38"/>
      <c r="J23" s="39"/>
      <c r="K23" s="40"/>
      <c r="L23" s="95"/>
    </row>
    <row r="24" spans="1:12" x14ac:dyDescent="0.25">
      <c r="A24" s="31"/>
      <c r="B24" s="84" t="str">
        <f>IF(D24="",IF(E24="",IF(F24="",IF(G24="",IF(H24="",IF(I24="",IF(J24="",IF(K24="","",22),22),22),22),22),22),22),22)</f>
        <v/>
      </c>
      <c r="C24" s="84" t="str">
        <f>IF(F24="","",IF(G24="","",IF(Roster!$D$24="English",IF(F24&gt;G24,"Won",IF(F24=G24,"Tied","Lost")),IF(F24&gt;G24,"Victoria",IF(F24=G24,"Empate","Derrota")))))</f>
        <v/>
      </c>
      <c r="D24" s="31"/>
      <c r="E24" s="31"/>
      <c r="F24" s="37"/>
      <c r="G24" s="38"/>
      <c r="H24" s="37"/>
      <c r="I24" s="38"/>
      <c r="J24" s="39"/>
      <c r="K24" s="40"/>
      <c r="L24" s="95"/>
    </row>
    <row r="25" spans="1:12" x14ac:dyDescent="0.25">
      <c r="A25" s="31"/>
      <c r="B25" s="84" t="str">
        <f>IF(D25="",IF(E25="",IF(F25="",IF(G25="",IF(H25="",IF(I25="",IF(J25="",IF(K25="","",23),23),23),23),23),23),23),23)</f>
        <v/>
      </c>
      <c r="C25" s="84" t="str">
        <f>IF(F25="","",IF(G25="","",IF(Roster!$D$24="English",IF(F25&gt;G25,"Won",IF(F25=G25,"Tied","Lost")),IF(F25&gt;G25,"Victoria",IF(F25=G25,"Empate","Derrota")))))</f>
        <v/>
      </c>
      <c r="D25" s="31"/>
      <c r="E25" s="31"/>
      <c r="F25" s="37"/>
      <c r="G25" s="38"/>
      <c r="H25" s="37"/>
      <c r="I25" s="38"/>
      <c r="J25" s="39"/>
      <c r="K25" s="40"/>
      <c r="L25" s="95"/>
    </row>
    <row r="26" spans="1:12" x14ac:dyDescent="0.25">
      <c r="A26" s="31"/>
      <c r="B26" s="84" t="str">
        <f>IF(D26="",IF(E26="",IF(F26="",IF(G26="",IF(H26="",IF(I26="",IF(J26="",IF(K26="","",24),24),24),24),24),24),24),24)</f>
        <v/>
      </c>
      <c r="C26" s="84" t="str">
        <f>IF(F26="","",IF(G26="","",IF(Roster!$D$24="English",IF(F26&gt;G26,"Won",IF(F26=G26,"Tied","Lost")),IF(F26&gt;G26,"Victoria",IF(F26=G26,"Empate","Derrota")))))</f>
        <v/>
      </c>
      <c r="D26" s="31"/>
      <c r="E26" s="31"/>
      <c r="F26" s="37"/>
      <c r="G26" s="38"/>
      <c r="H26" s="37"/>
      <c r="I26" s="38"/>
      <c r="J26" s="39"/>
      <c r="K26" s="40"/>
      <c r="L26" s="95"/>
    </row>
    <row r="27" spans="1:12" x14ac:dyDescent="0.25">
      <c r="A27" s="31"/>
      <c r="B27" s="84" t="str">
        <f>IF(D27="",IF(E27="",IF(F27="",IF(G27="",IF(H27="",IF(I27="",IF(J27="",IF(K27="","",25),25),25),25),25),25),25),25)</f>
        <v/>
      </c>
      <c r="C27" s="84" t="str">
        <f>IF(F27="","",IF(G27="","",IF(Roster!$D$24="English",IF(F27&gt;G27,"Won",IF(F27=G27,"Tied","Lost")),IF(F27&gt;G27,"Victoria",IF(F27=G27,"Empate","Derrota")))))</f>
        <v/>
      </c>
      <c r="D27" s="31"/>
      <c r="E27" s="31"/>
      <c r="F27" s="37"/>
      <c r="G27" s="38"/>
      <c r="H27" s="37"/>
      <c r="I27" s="38"/>
      <c r="J27" s="39"/>
      <c r="K27" s="40"/>
      <c r="L27" s="95"/>
    </row>
    <row r="28" spans="1:12" x14ac:dyDescent="0.25">
      <c r="A28" s="31"/>
      <c r="B28" s="84" t="str">
        <f>IF(D28="",IF(E28="",IF(F28="",IF(G28="",IF(H28="",IF(I28="",IF(J28="",IF(K28="","",26),26),26),26),26),26),26),26)</f>
        <v/>
      </c>
      <c r="C28" s="84" t="str">
        <f>IF(F28="","",IF(G28="","",IF(Roster!$D$24="English",IF(F28&gt;G28,"Won",IF(F28=G28,"Tied","Lost")),IF(F28&gt;G28,"Victoria",IF(F28=G28,"Empate","Derrota")))))</f>
        <v/>
      </c>
      <c r="D28" s="31"/>
      <c r="E28" s="31"/>
      <c r="F28" s="37"/>
      <c r="G28" s="38"/>
      <c r="H28" s="37"/>
      <c r="I28" s="38"/>
      <c r="J28" s="39"/>
      <c r="K28" s="40"/>
      <c r="L28" s="95"/>
    </row>
    <row r="29" spans="1:12" x14ac:dyDescent="0.25">
      <c r="A29" s="31"/>
      <c r="B29" s="84" t="str">
        <f>IF(D29="",IF(E29="",IF(F29="",IF(G29="",IF(H29="",IF(I29="",IF(J29="",IF(K29="","",27),27),27),27),27),27),27),27)</f>
        <v/>
      </c>
      <c r="C29" s="84" t="str">
        <f>IF(F29="","",IF(G29="","",IF(Roster!$D$24="English",IF(F29&gt;G29,"Won",IF(F29=G29,"Tied","Lost")),IF(F29&gt;G29,"Victoria",IF(F29=G29,"Empate","Derrota")))))</f>
        <v/>
      </c>
      <c r="D29" s="31"/>
      <c r="E29" s="31"/>
      <c r="F29" s="37"/>
      <c r="G29" s="38"/>
      <c r="H29" s="37"/>
      <c r="I29" s="38"/>
      <c r="J29" s="39"/>
      <c r="K29" s="40"/>
      <c r="L29" s="95"/>
    </row>
    <row r="30" spans="1:12" x14ac:dyDescent="0.25">
      <c r="A30" s="31"/>
      <c r="B30" s="84" t="str">
        <f>IF(D30="",IF(E30="",IF(F30="",IF(G30="",IF(H30="",IF(I30="",IF(J30="",IF(K30="","",28),28),28),28),28),28),28),28)</f>
        <v/>
      </c>
      <c r="C30" s="84" t="str">
        <f>IF(F30="","",IF(G30="","",IF(Roster!$D$24="English",IF(F30&gt;G30,"Won",IF(F30=G30,"Tied","Lost")),IF(F30&gt;G30,"Victoria",IF(F30=G30,"Empate","Derrota")))))</f>
        <v/>
      </c>
      <c r="D30" s="31"/>
      <c r="E30" s="31"/>
      <c r="F30" s="37"/>
      <c r="G30" s="38"/>
      <c r="H30" s="37"/>
      <c r="I30" s="38"/>
      <c r="J30" s="39"/>
      <c r="K30" s="40"/>
      <c r="L30" s="95"/>
    </row>
    <row r="31" spans="1:12" x14ac:dyDescent="0.25">
      <c r="A31" s="31"/>
      <c r="B31" s="84" t="str">
        <f>IF(D31="",IF(E31="",IF(F31="",IF(G31="",IF(H31="",IF(I31="",IF(J31="",IF(K31="","",29),29),29),29),29),29),29),29)</f>
        <v/>
      </c>
      <c r="C31" s="84" t="str">
        <f>IF(F31="","",IF(G31="","",IF(Roster!$D$24="English",IF(F31&gt;G31,"Won",IF(F31=G31,"Tied","Lost")),IF(F31&gt;G31,"Victoria",IF(F31=G31,"Empate","Derrota")))))</f>
        <v/>
      </c>
      <c r="D31" s="31"/>
      <c r="E31" s="31"/>
      <c r="F31" s="37"/>
      <c r="G31" s="38"/>
      <c r="H31" s="37"/>
      <c r="I31" s="38"/>
      <c r="J31" s="31"/>
      <c r="K31" s="40"/>
      <c r="L31" s="95"/>
    </row>
    <row r="32" spans="1:12" x14ac:dyDescent="0.25">
      <c r="A32" s="31"/>
      <c r="B32" s="84" t="str">
        <f>IF(D32="",IF(E32="",IF(F32="",IF(G32="",IF(H32="",IF(I32="",IF(J32="",IF(K32="","",30),30),30),30),30),30),30),30)</f>
        <v/>
      </c>
      <c r="C32" s="84" t="str">
        <f>IF(F32="","",IF(G32="","",IF(Roster!$D$24="English",IF(F32&gt;G32,"Won",IF(F32=G32,"Tied","Lost")),IF(F32&gt;G32,"Victoria",IF(F32=G32,"Empate","Derrota")))))</f>
        <v/>
      </c>
      <c r="D32" s="31"/>
      <c r="E32" s="31"/>
      <c r="F32" s="37"/>
      <c r="G32" s="38"/>
      <c r="H32" s="37"/>
      <c r="I32" s="38"/>
      <c r="J32" s="31"/>
      <c r="K32" s="31"/>
      <c r="L32" s="95"/>
    </row>
    <row r="33" spans="1:12" x14ac:dyDescent="0.25">
      <c r="A33" s="31"/>
      <c r="B33" s="84" t="str">
        <f>IF(D33="",IF(E33="",IF(F33="",IF(G33="",IF(H33="",IF(I33="",IF(J33="",IF(K33="","",31),31),31),31),31),31),31),31)</f>
        <v/>
      </c>
      <c r="C33" s="84" t="str">
        <f>IF(F33="","",IF(G33="","",IF(Roster!$D$24="English",IF(F33&gt;G33,"Won",IF(F33=G33,"Tied","Lost")),IF(F33&gt;G33,"Victoria",IF(F33=G33,"Empate","Derrota")))))</f>
        <v/>
      </c>
      <c r="D33" s="31"/>
      <c r="E33" s="31"/>
      <c r="F33" s="37"/>
      <c r="G33" s="38"/>
      <c r="H33" s="37"/>
      <c r="I33" s="38"/>
      <c r="J33" s="31"/>
      <c r="K33" s="31"/>
      <c r="L33" s="95"/>
    </row>
    <row r="34" spans="1:12" x14ac:dyDescent="0.25">
      <c r="A34" s="31"/>
      <c r="B34" s="84" t="str">
        <f>IF(D34="",IF(E34="",IF(F34="",IF(G34="",IF(H34="",IF(I34="",IF(J34="",IF(K34="","",32),32),32),32),32),32),32),32)</f>
        <v/>
      </c>
      <c r="C34" s="84" t="str">
        <f>IF(F34="","",IF(G34="","",IF(Roster!$D$24="English",IF(F34&gt;G34,"Won",IF(F34=G34,"Tied","Lost")),IF(F34&gt;G34,"Victoria",IF(F34=G34,"Empate","Derrota")))))</f>
        <v/>
      </c>
      <c r="D34" s="31"/>
      <c r="E34" s="31"/>
      <c r="F34" s="37"/>
      <c r="G34" s="38"/>
      <c r="H34" s="37"/>
      <c r="I34" s="38"/>
      <c r="J34" s="31"/>
      <c r="K34" s="31"/>
      <c r="L34" s="95"/>
    </row>
    <row r="35" spans="1:12" x14ac:dyDescent="0.25">
      <c r="A35" s="31"/>
      <c r="B35" s="84" t="str">
        <f>IF(D35="",IF(E35="",IF(F35="",IF(G35="",IF(H35="",IF(I35="",IF(J35="",IF(K35="","",33),33),33),33),33),33),33),33)</f>
        <v/>
      </c>
      <c r="C35" s="84" t="str">
        <f>IF(F35="","",IF(G35="","",IF(Roster!$D$24="English",IF(F35&gt;G35,"Won",IF(F35=G35,"Tied","Lost")),IF(F35&gt;G35,"Victoria",IF(F35=G35,"Empate","Derrota")))))</f>
        <v/>
      </c>
      <c r="D35" s="31"/>
      <c r="E35" s="31"/>
      <c r="F35" s="37"/>
      <c r="G35" s="38"/>
      <c r="H35" s="37"/>
      <c r="I35" s="38"/>
      <c r="J35" s="31"/>
      <c r="K35" s="31"/>
      <c r="L35" s="95"/>
    </row>
    <row r="36" spans="1:12" x14ac:dyDescent="0.25">
      <c r="A36" s="31"/>
      <c r="B36" s="84" t="str">
        <f>IF(D36="",IF(E36="",IF(F36="",IF(G36="",IF(H36="",IF(I36="",IF(J36="",IF(K36="","",34),34),34),34),34),34),34),34)</f>
        <v/>
      </c>
      <c r="C36" s="84" t="str">
        <f>IF(F36="","",IF(G36="","",IF(Roster!$D$24="English",IF(F36&gt;G36,"Won",IF(F36=G36,"Tied","Lost")),IF(F36&gt;G36,"Victoria",IF(F36=G36,"Empate","Derrota")))))</f>
        <v/>
      </c>
      <c r="D36" s="31"/>
      <c r="E36" s="31"/>
      <c r="F36" s="37"/>
      <c r="G36" s="38"/>
      <c r="H36" s="37"/>
      <c r="I36" s="38"/>
      <c r="J36" s="31"/>
      <c r="K36" s="31"/>
      <c r="L36" s="95"/>
    </row>
    <row r="37" spans="1:12" x14ac:dyDescent="0.25">
      <c r="A37" s="31"/>
      <c r="B37" s="84" t="str">
        <f>IF(D37="",IF(E37="",IF(F37="",IF(G37="",IF(H37="",IF(I37="",IF(J37="",IF(K37="","",35),35),35),35),35),35),35),35)</f>
        <v/>
      </c>
      <c r="C37" s="84" t="str">
        <f>IF(F37="","",IF(G37="","",IF(Roster!$D$24="English",IF(F37&gt;G37,"Won",IF(F37=G37,"Tied","Lost")),IF(F37&gt;G37,"Victoria",IF(F37=G37,"Empate","Derrota")))))</f>
        <v/>
      </c>
      <c r="D37" s="31"/>
      <c r="E37" s="31"/>
      <c r="F37" s="37"/>
      <c r="G37" s="38"/>
      <c r="H37" s="37"/>
      <c r="I37" s="38"/>
      <c r="J37" s="31"/>
      <c r="K37" s="31"/>
      <c r="L37" s="95"/>
    </row>
    <row r="38" spans="1:12" x14ac:dyDescent="0.25">
      <c r="A38" s="31"/>
      <c r="B38" s="84" t="str">
        <f>IF(D38="",IF(E38="",IF(F38="",IF(G38="",IF(H38="",IF(I38="",IF(J38="",IF(K38="","",36),36),36),36),36),36),36),36)</f>
        <v/>
      </c>
      <c r="C38" s="84" t="str">
        <f>IF(F38="","",IF(G38="","",IF(Roster!$D$24="English",IF(F38&gt;G38,"Won",IF(F38=G38,"Tied","Lost")),IF(F38&gt;G38,"Victoria",IF(F38=G38,"Empate","Derrota")))))</f>
        <v/>
      </c>
      <c r="D38" s="31"/>
      <c r="E38" s="31"/>
      <c r="F38" s="37"/>
      <c r="G38" s="38"/>
      <c r="H38" s="37"/>
      <c r="I38" s="38"/>
      <c r="J38" s="31"/>
      <c r="K38" s="31"/>
      <c r="L38" s="95"/>
    </row>
    <row r="39" spans="1:12" x14ac:dyDescent="0.25">
      <c r="A39" s="31"/>
      <c r="B39" s="84" t="str">
        <f>IF(D39="",IF(E39="",IF(F39="",IF(G39="",IF(H39="",IF(I39="",IF(J39="",IF(K39="","",37),37),37),37),37),37),37),37)</f>
        <v/>
      </c>
      <c r="C39" s="84" t="str">
        <f>IF(F39="","",IF(G39="","",IF(Roster!$D$24="English",IF(F39&gt;G39,"Won",IF(F39=G39,"Tied","Lost")),IF(F39&gt;G39,"Victoria",IF(F39=G39,"Empate","Derrota")))))</f>
        <v/>
      </c>
      <c r="D39" s="31"/>
      <c r="E39" s="31"/>
      <c r="F39" s="37"/>
      <c r="G39" s="38"/>
      <c r="H39" s="37"/>
      <c r="I39" s="38"/>
      <c r="J39" s="31"/>
      <c r="K39" s="31"/>
      <c r="L39" s="95"/>
    </row>
    <row r="40" spans="1:12" x14ac:dyDescent="0.25">
      <c r="A40" s="31"/>
      <c r="B40" s="84" t="str">
        <f>IF(D40="",IF(E40="",IF(F40="",IF(G40="",IF(H40="",IF(I40="",IF(J40="",IF(K40="","",38),38),38),38),38),38),38),38)</f>
        <v/>
      </c>
      <c r="C40" s="84" t="str">
        <f>IF(F40="","",IF(G40="","",IF(Roster!$D$24="English",IF(F40&gt;G40,"Won",IF(F40=G40,"Tied","Lost")),IF(F40&gt;G40,"Victoria",IF(F40=G40,"Empate","Derrota")))))</f>
        <v/>
      </c>
      <c r="D40" s="31"/>
      <c r="E40" s="31"/>
      <c r="F40" s="37"/>
      <c r="G40" s="38"/>
      <c r="H40" s="37"/>
      <c r="I40" s="38"/>
      <c r="J40" s="31"/>
      <c r="K40" s="31"/>
      <c r="L40" s="95"/>
    </row>
    <row r="41" spans="1:12" x14ac:dyDescent="0.25">
      <c r="A41" s="42"/>
      <c r="B41" s="84" t="str">
        <f>IF(D41="",IF(E41="",IF(F41="",IF(G41="",IF(H41="",IF(I41="",IF(J41="",IF(K41="","",39),39),39),39),39),39),39),39)</f>
        <v/>
      </c>
      <c r="C41" s="84" t="str">
        <f>IF(F41="","",IF(G41="","",IF(Roster!$D$24="English",IF(F41&gt;G41,"Won",IF(F41=G41,"Tied","Lost")),IF(F41&gt;G41,"Victoria",IF(F41=G41,"Empate","Derrota")))))</f>
        <v/>
      </c>
      <c r="D41" s="42"/>
      <c r="E41" s="42"/>
      <c r="F41" s="43"/>
      <c r="G41" s="44"/>
      <c r="H41" s="43"/>
      <c r="I41" s="44"/>
      <c r="J41" s="42"/>
      <c r="K41" s="42"/>
      <c r="L41" s="96"/>
    </row>
    <row r="42" spans="1:12" x14ac:dyDescent="0.25">
      <c r="A42" s="42"/>
      <c r="B42" s="84" t="str">
        <f t="shared" ref="B42:B105" si="0">IF(D42="",IF(E42="",IF(F42="",IF(G42="",IF(H42="",IF(I42="",IF(J42="",IF(K42="","",39),39),39),39),39),39),39),39)</f>
        <v/>
      </c>
      <c r="C42" s="84" t="str">
        <f>IF(F42="","",IF(G42="","",IF(Roster!$D$24="English",IF(F42&gt;G42,"Won",IF(F42=G42,"Tied","Lost")),IF(F42&gt;G42,"Victoria",IF(F42=G42,"Empate","Derrota")))))</f>
        <v/>
      </c>
      <c r="D42" s="42"/>
      <c r="E42" s="42"/>
      <c r="F42" s="43"/>
      <c r="G42" s="44"/>
      <c r="H42" s="43"/>
      <c r="I42" s="44"/>
      <c r="J42" s="42"/>
      <c r="K42" s="42"/>
      <c r="L42" s="96"/>
    </row>
    <row r="43" spans="1:12" x14ac:dyDescent="0.25">
      <c r="A43" s="42"/>
      <c r="B43" s="84" t="str">
        <f t="shared" si="0"/>
        <v/>
      </c>
      <c r="C43" s="84" t="str">
        <f>IF(F43="","",IF(G43="","",IF(Roster!$D$24="English",IF(F43&gt;G43,"Won",IF(F43=G43,"Tied","Lost")),IF(F43&gt;G43,"Victoria",IF(F43=G43,"Empate","Derrota")))))</f>
        <v/>
      </c>
      <c r="D43" s="42"/>
      <c r="E43" s="42"/>
      <c r="F43" s="43"/>
      <c r="G43" s="44"/>
      <c r="H43" s="43"/>
      <c r="I43" s="44"/>
      <c r="J43" s="42"/>
      <c r="K43" s="42"/>
      <c r="L43" s="96"/>
    </row>
    <row r="44" spans="1:12" x14ac:dyDescent="0.25">
      <c r="A44" s="42"/>
      <c r="B44" s="84" t="str">
        <f t="shared" si="0"/>
        <v/>
      </c>
      <c r="C44" s="84" t="str">
        <f>IF(F44="","",IF(G44="","",IF(Roster!$D$24="English",IF(F44&gt;G44,"Won",IF(F44=G44,"Tied","Lost")),IF(F44&gt;G44,"Victoria",IF(F44=G44,"Empate","Derrota")))))</f>
        <v/>
      </c>
      <c r="D44" s="42"/>
      <c r="E44" s="42"/>
      <c r="F44" s="43"/>
      <c r="G44" s="44"/>
      <c r="H44" s="43"/>
      <c r="I44" s="44"/>
      <c r="J44" s="42"/>
      <c r="K44" s="42"/>
      <c r="L44" s="96"/>
    </row>
    <row r="45" spans="1:12" x14ac:dyDescent="0.25">
      <c r="A45" s="42"/>
      <c r="B45" s="84" t="str">
        <f t="shared" si="0"/>
        <v/>
      </c>
      <c r="C45" s="84" t="str">
        <f>IF(F45="","",IF(G45="","",IF(Roster!$D$24="English",IF(F45&gt;G45,"Won",IF(F45=G45,"Tied","Lost")),IF(F45&gt;G45,"Victoria",IF(F45=G45,"Empate","Derrota")))))</f>
        <v/>
      </c>
      <c r="D45" s="42"/>
      <c r="E45" s="42"/>
      <c r="F45" s="43"/>
      <c r="G45" s="44"/>
      <c r="H45" s="43"/>
      <c r="I45" s="44"/>
      <c r="J45" s="42"/>
      <c r="K45" s="42"/>
      <c r="L45" s="96"/>
    </row>
    <row r="46" spans="1:12" x14ac:dyDescent="0.25">
      <c r="A46" s="42"/>
      <c r="B46" s="84" t="str">
        <f t="shared" si="0"/>
        <v/>
      </c>
      <c r="C46" s="84" t="str">
        <f>IF(F46="","",IF(G46="","",IF(Roster!$D$24="English",IF(F46&gt;G46,"Won",IF(F46=G46,"Tied","Lost")),IF(F46&gt;G46,"Victoria",IF(F46=G46,"Empate","Derrota")))))</f>
        <v/>
      </c>
      <c r="D46" s="42"/>
      <c r="E46" s="42"/>
      <c r="F46" s="43"/>
      <c r="G46" s="44"/>
      <c r="H46" s="43"/>
      <c r="I46" s="44"/>
      <c r="J46" s="42"/>
      <c r="K46" s="42"/>
      <c r="L46" s="96"/>
    </row>
    <row r="47" spans="1:12" x14ac:dyDescent="0.25">
      <c r="A47" s="42"/>
      <c r="B47" s="84" t="str">
        <f t="shared" si="0"/>
        <v/>
      </c>
      <c r="C47" s="84" t="str">
        <f>IF(F47="","",IF(G47="","",IF(Roster!$D$24="English",IF(F47&gt;G47,"Won",IF(F47=G47,"Tied","Lost")),IF(F47&gt;G47,"Victoria",IF(F47=G47,"Empate","Derrota")))))</f>
        <v/>
      </c>
      <c r="D47" s="42"/>
      <c r="E47" s="42"/>
      <c r="F47" s="43"/>
      <c r="G47" s="44"/>
      <c r="H47" s="43"/>
      <c r="I47" s="44"/>
      <c r="J47" s="42"/>
      <c r="K47" s="42"/>
      <c r="L47" s="96"/>
    </row>
    <row r="48" spans="1:12" x14ac:dyDescent="0.25">
      <c r="A48" s="42"/>
      <c r="B48" s="84" t="str">
        <f t="shared" si="0"/>
        <v/>
      </c>
      <c r="C48" s="84" t="str">
        <f>IF(F48="","",IF(G48="","",IF(Roster!$D$24="English",IF(F48&gt;G48,"Won",IF(F48=G48,"Tied","Lost")),IF(F48&gt;G48,"Victoria",IF(F48=G48,"Empate","Derrota")))))</f>
        <v/>
      </c>
      <c r="D48" s="42"/>
      <c r="E48" s="42"/>
      <c r="F48" s="43"/>
      <c r="G48" s="44"/>
      <c r="H48" s="43"/>
      <c r="I48" s="44"/>
      <c r="J48" s="42"/>
      <c r="K48" s="42"/>
      <c r="L48" s="96"/>
    </row>
    <row r="49" spans="1:12" x14ac:dyDescent="0.25">
      <c r="A49" s="42"/>
      <c r="B49" s="84" t="str">
        <f t="shared" si="0"/>
        <v/>
      </c>
      <c r="C49" s="84" t="str">
        <f>IF(F49="","",IF(G49="","",IF(Roster!$D$24="English",IF(F49&gt;G49,"Won",IF(F49=G49,"Tied","Lost")),IF(F49&gt;G49,"Victoria",IF(F49=G49,"Empate","Derrota")))))</f>
        <v/>
      </c>
      <c r="D49" s="42"/>
      <c r="E49" s="42"/>
      <c r="F49" s="43"/>
      <c r="G49" s="44"/>
      <c r="H49" s="43"/>
      <c r="I49" s="44"/>
      <c r="J49" s="42"/>
      <c r="K49" s="42"/>
      <c r="L49" s="96"/>
    </row>
    <row r="50" spans="1:12" x14ac:dyDescent="0.25">
      <c r="A50" s="42"/>
      <c r="B50" s="84" t="str">
        <f t="shared" si="0"/>
        <v/>
      </c>
      <c r="C50" s="84" t="str">
        <f>IF(F50="","",IF(G50="","",IF(Roster!$D$24="English",IF(F50&gt;G50,"Won",IF(F50=G50,"Tied","Lost")),IF(F50&gt;G50,"Victoria",IF(F50=G50,"Empate","Derrota")))))</f>
        <v/>
      </c>
      <c r="D50" s="42"/>
      <c r="E50" s="42"/>
      <c r="F50" s="43"/>
      <c r="G50" s="44"/>
      <c r="H50" s="43"/>
      <c r="I50" s="44"/>
      <c r="J50" s="42"/>
      <c r="K50" s="42"/>
      <c r="L50" s="96"/>
    </row>
    <row r="51" spans="1:12" x14ac:dyDescent="0.25">
      <c r="A51" s="42"/>
      <c r="B51" s="84" t="str">
        <f t="shared" si="0"/>
        <v/>
      </c>
      <c r="C51" s="84" t="str">
        <f>IF(F51="","",IF(G51="","",IF(Roster!$D$24="English",IF(F51&gt;G51,"Won",IF(F51=G51,"Tied","Lost")),IF(F51&gt;G51,"Victoria",IF(F51=G51,"Empate","Derrota")))))</f>
        <v/>
      </c>
      <c r="D51" s="42"/>
      <c r="E51" s="42"/>
      <c r="F51" s="43"/>
      <c r="G51" s="44"/>
      <c r="H51" s="43"/>
      <c r="I51" s="44"/>
      <c r="J51" s="42"/>
      <c r="K51" s="42"/>
      <c r="L51" s="96"/>
    </row>
    <row r="52" spans="1:12" x14ac:dyDescent="0.25">
      <c r="A52" s="42"/>
      <c r="B52" s="84" t="str">
        <f t="shared" si="0"/>
        <v/>
      </c>
      <c r="C52" s="84" t="str">
        <f>IF(F52="","",IF(G52="","",IF(Roster!$D$24="English",IF(F52&gt;G52,"Won",IF(F52=G52,"Tied","Lost")),IF(F52&gt;G52,"Victoria",IF(F52=G52,"Empate","Derrota")))))</f>
        <v/>
      </c>
      <c r="D52" s="42"/>
      <c r="E52" s="42"/>
      <c r="F52" s="43"/>
      <c r="G52" s="44"/>
      <c r="H52" s="43"/>
      <c r="I52" s="44"/>
      <c r="J52" s="42"/>
      <c r="K52" s="42"/>
      <c r="L52" s="96"/>
    </row>
    <row r="53" spans="1:12" x14ac:dyDescent="0.25">
      <c r="A53" s="42"/>
      <c r="B53" s="84" t="str">
        <f t="shared" si="0"/>
        <v/>
      </c>
      <c r="C53" s="84" t="str">
        <f>IF(F53="","",IF(G53="","",IF(Roster!$D$24="English",IF(F53&gt;G53,"Won",IF(F53=G53,"Tied","Lost")),IF(F53&gt;G53,"Victoria",IF(F53=G53,"Empate","Derrota")))))</f>
        <v/>
      </c>
      <c r="D53" s="42"/>
      <c r="E53" s="42"/>
      <c r="F53" s="43"/>
      <c r="G53" s="44"/>
      <c r="H53" s="43"/>
      <c r="I53" s="44"/>
      <c r="J53" s="42"/>
      <c r="K53" s="42"/>
      <c r="L53" s="96"/>
    </row>
    <row r="54" spans="1:12" x14ac:dyDescent="0.25">
      <c r="A54" s="42"/>
      <c r="B54" s="84" t="str">
        <f t="shared" si="0"/>
        <v/>
      </c>
      <c r="C54" s="84" t="str">
        <f>IF(F54="","",IF(G54="","",IF(Roster!$D$24="English",IF(F54&gt;G54,"Won",IF(F54=G54,"Tied","Lost")),IF(F54&gt;G54,"Victoria",IF(F54=G54,"Empate","Derrota")))))</f>
        <v/>
      </c>
      <c r="D54" s="42"/>
      <c r="E54" s="42"/>
      <c r="F54" s="43"/>
      <c r="G54" s="44"/>
      <c r="H54" s="43"/>
      <c r="I54" s="44"/>
      <c r="J54" s="42"/>
      <c r="K54" s="42"/>
      <c r="L54" s="96"/>
    </row>
    <row r="55" spans="1:12" x14ac:dyDescent="0.25">
      <c r="A55" s="42"/>
      <c r="B55" s="84" t="str">
        <f t="shared" si="0"/>
        <v/>
      </c>
      <c r="C55" s="84" t="str">
        <f>IF(F55="","",IF(G55="","",IF(Roster!$D$24="English",IF(F55&gt;G55,"Won",IF(F55=G55,"Tied","Lost")),IF(F55&gt;G55,"Victoria",IF(F55=G55,"Empate","Derrota")))))</f>
        <v/>
      </c>
      <c r="D55" s="42"/>
      <c r="E55" s="42"/>
      <c r="F55" s="43"/>
      <c r="G55" s="44"/>
      <c r="H55" s="43"/>
      <c r="I55" s="44"/>
      <c r="J55" s="42"/>
      <c r="K55" s="42"/>
      <c r="L55" s="96"/>
    </row>
    <row r="56" spans="1:12" x14ac:dyDescent="0.25">
      <c r="A56" s="42"/>
      <c r="B56" s="84" t="str">
        <f t="shared" si="0"/>
        <v/>
      </c>
      <c r="C56" s="84" t="str">
        <f>IF(F56="","",IF(G56="","",IF(Roster!$D$24="English",IF(F56&gt;G56,"Won",IF(F56=G56,"Tied","Lost")),IF(F56&gt;G56,"Victoria",IF(F56=G56,"Empate","Derrota")))))</f>
        <v/>
      </c>
      <c r="D56" s="42"/>
      <c r="E56" s="42"/>
      <c r="F56" s="43"/>
      <c r="G56" s="44"/>
      <c r="H56" s="43"/>
      <c r="I56" s="44"/>
      <c r="J56" s="42"/>
      <c r="K56" s="42"/>
      <c r="L56" s="96"/>
    </row>
    <row r="57" spans="1:12" x14ac:dyDescent="0.25">
      <c r="A57" s="42"/>
      <c r="B57" s="84" t="str">
        <f t="shared" si="0"/>
        <v/>
      </c>
      <c r="C57" s="84" t="str">
        <f>IF(F57="","",IF(G57="","",IF(Roster!$D$24="English",IF(F57&gt;G57,"Won",IF(F57=G57,"Tied","Lost")),IF(F57&gt;G57,"Victoria",IF(F57=G57,"Empate","Derrota")))))</f>
        <v/>
      </c>
      <c r="D57" s="42"/>
      <c r="E57" s="42"/>
      <c r="F57" s="43"/>
      <c r="G57" s="44"/>
      <c r="H57" s="43"/>
      <c r="I57" s="44"/>
      <c r="J57" s="42"/>
      <c r="K57" s="42"/>
      <c r="L57" s="96"/>
    </row>
    <row r="58" spans="1:12" x14ac:dyDescent="0.25">
      <c r="A58" s="42"/>
      <c r="B58" s="84" t="str">
        <f t="shared" si="0"/>
        <v/>
      </c>
      <c r="C58" s="84" t="str">
        <f>IF(F58="","",IF(G58="","",IF(Roster!$D$24="English",IF(F58&gt;G58,"Won",IF(F58=G58,"Tied","Lost")),IF(F58&gt;G58,"Victoria",IF(F58=G58,"Empate","Derrota")))))</f>
        <v/>
      </c>
      <c r="D58" s="42"/>
      <c r="E58" s="42"/>
      <c r="F58" s="43"/>
      <c r="G58" s="44"/>
      <c r="H58" s="43"/>
      <c r="I58" s="44"/>
      <c r="J58" s="42"/>
      <c r="K58" s="42"/>
      <c r="L58" s="96"/>
    </row>
    <row r="59" spans="1:12" x14ac:dyDescent="0.25">
      <c r="A59" s="42"/>
      <c r="B59" s="84" t="str">
        <f t="shared" si="0"/>
        <v/>
      </c>
      <c r="C59" s="84" t="str">
        <f>IF(F59="","",IF(G59="","",IF(Roster!$D$24="English",IF(F59&gt;G59,"Won",IF(F59=G59,"Tied","Lost")),IF(F59&gt;G59,"Victoria",IF(F59=G59,"Empate","Derrota")))))</f>
        <v/>
      </c>
      <c r="D59" s="42"/>
      <c r="E59" s="42"/>
      <c r="F59" s="43"/>
      <c r="G59" s="44"/>
      <c r="H59" s="43"/>
      <c r="I59" s="44"/>
      <c r="J59" s="42"/>
      <c r="K59" s="42"/>
      <c r="L59" s="96"/>
    </row>
    <row r="60" spans="1:12" x14ac:dyDescent="0.25">
      <c r="A60" s="42"/>
      <c r="B60" s="84" t="str">
        <f t="shared" si="0"/>
        <v/>
      </c>
      <c r="C60" s="84" t="str">
        <f>IF(F60="","",IF(G60="","",IF(Roster!$D$24="English",IF(F60&gt;G60,"Won",IF(F60=G60,"Tied","Lost")),IF(F60&gt;G60,"Victoria",IF(F60=G60,"Empate","Derrota")))))</f>
        <v/>
      </c>
      <c r="D60" s="42"/>
      <c r="E60" s="42"/>
      <c r="F60" s="43"/>
      <c r="G60" s="44"/>
      <c r="H60" s="43"/>
      <c r="I60" s="44"/>
      <c r="J60" s="42"/>
      <c r="K60" s="42"/>
      <c r="L60" s="96"/>
    </row>
    <row r="61" spans="1:12" x14ac:dyDescent="0.25">
      <c r="A61" s="42"/>
      <c r="B61" s="84" t="str">
        <f t="shared" si="0"/>
        <v/>
      </c>
      <c r="C61" s="84" t="str">
        <f>IF(F61="","",IF(G61="","",IF(Roster!$D$24="English",IF(F61&gt;G61,"Won",IF(F61=G61,"Tied","Lost")),IF(F61&gt;G61,"Victoria",IF(F61=G61,"Empate","Derrota")))))</f>
        <v/>
      </c>
      <c r="D61" s="42"/>
      <c r="E61" s="42"/>
      <c r="F61" s="43"/>
      <c r="G61" s="44"/>
      <c r="H61" s="43"/>
      <c r="I61" s="44"/>
      <c r="J61" s="42"/>
      <c r="K61" s="42"/>
      <c r="L61" s="96"/>
    </row>
    <row r="62" spans="1:12" x14ac:dyDescent="0.25">
      <c r="A62" s="42"/>
      <c r="B62" s="84" t="str">
        <f t="shared" si="0"/>
        <v/>
      </c>
      <c r="C62" s="84" t="str">
        <f>IF(F62="","",IF(G62="","",IF(Roster!$D$24="English",IF(F62&gt;G62,"Won",IF(F62=G62,"Tied","Lost")),IF(F62&gt;G62,"Victoria",IF(F62=G62,"Empate","Derrota")))))</f>
        <v/>
      </c>
      <c r="D62" s="42"/>
      <c r="E62" s="42"/>
      <c r="F62" s="43"/>
      <c r="G62" s="44"/>
      <c r="H62" s="43"/>
      <c r="I62" s="44"/>
      <c r="J62" s="42"/>
      <c r="K62" s="42"/>
      <c r="L62" s="96"/>
    </row>
    <row r="63" spans="1:12" x14ac:dyDescent="0.25">
      <c r="A63" s="42"/>
      <c r="B63" s="84" t="str">
        <f t="shared" si="0"/>
        <v/>
      </c>
      <c r="C63" s="84" t="str">
        <f>IF(F63="","",IF(G63="","",IF(Roster!$D$24="English",IF(F63&gt;G63,"Won",IF(F63=G63,"Tied","Lost")),IF(F63&gt;G63,"Victoria",IF(F63=G63,"Empate","Derrota")))))</f>
        <v/>
      </c>
      <c r="D63" s="42"/>
      <c r="E63" s="42"/>
      <c r="F63" s="43"/>
      <c r="G63" s="44"/>
      <c r="H63" s="43"/>
      <c r="I63" s="44"/>
      <c r="J63" s="42"/>
      <c r="K63" s="42"/>
      <c r="L63" s="96"/>
    </row>
    <row r="64" spans="1:12" x14ac:dyDescent="0.25">
      <c r="A64" s="42"/>
      <c r="B64" s="84" t="str">
        <f t="shared" si="0"/>
        <v/>
      </c>
      <c r="C64" s="84" t="str">
        <f>IF(F64="","",IF(G64="","",IF(Roster!$D$24="English",IF(F64&gt;G64,"Won",IF(F64=G64,"Tied","Lost")),IF(F64&gt;G64,"Victoria",IF(F64=G64,"Empate","Derrota")))))</f>
        <v/>
      </c>
      <c r="D64" s="42"/>
      <c r="E64" s="42"/>
      <c r="F64" s="43"/>
      <c r="G64" s="44"/>
      <c r="H64" s="43"/>
      <c r="I64" s="44"/>
      <c r="J64" s="42"/>
      <c r="K64" s="42"/>
      <c r="L64" s="96"/>
    </row>
    <row r="65" spans="1:12" x14ac:dyDescent="0.25">
      <c r="A65" s="42"/>
      <c r="B65" s="84" t="str">
        <f t="shared" si="0"/>
        <v/>
      </c>
      <c r="C65" s="84" t="str">
        <f>IF(F65="","",IF(G65="","",IF(Roster!$D$24="English",IF(F65&gt;G65,"Won",IF(F65=G65,"Tied","Lost")),IF(F65&gt;G65,"Victoria",IF(F65=G65,"Empate","Derrota")))))</f>
        <v/>
      </c>
      <c r="D65" s="42"/>
      <c r="E65" s="42"/>
      <c r="F65" s="43"/>
      <c r="G65" s="44"/>
      <c r="H65" s="43"/>
      <c r="I65" s="44"/>
      <c r="J65" s="42"/>
      <c r="K65" s="42"/>
      <c r="L65" s="96"/>
    </row>
    <row r="66" spans="1:12" x14ac:dyDescent="0.25">
      <c r="A66" s="42"/>
      <c r="B66" s="84" t="str">
        <f t="shared" si="0"/>
        <v/>
      </c>
      <c r="C66" s="84" t="str">
        <f>IF(F66="","",IF(G66="","",IF(Roster!$D$24="English",IF(F66&gt;G66,"Won",IF(F66=G66,"Tied","Lost")),IF(F66&gt;G66,"Victoria",IF(F66=G66,"Empate","Derrota")))))</f>
        <v/>
      </c>
      <c r="D66" s="42"/>
      <c r="E66" s="42"/>
      <c r="F66" s="43"/>
      <c r="G66" s="44"/>
      <c r="H66" s="43"/>
      <c r="I66" s="44"/>
      <c r="J66" s="42"/>
      <c r="K66" s="42"/>
      <c r="L66" s="96"/>
    </row>
    <row r="67" spans="1:12" x14ac:dyDescent="0.25">
      <c r="A67" s="42"/>
      <c r="B67" s="84" t="str">
        <f t="shared" si="0"/>
        <v/>
      </c>
      <c r="C67" s="84" t="str">
        <f>IF(F67="","",IF(G67="","",IF(Roster!$D$24="English",IF(F67&gt;G67,"Won",IF(F67=G67,"Tied","Lost")),IF(F67&gt;G67,"Victoria",IF(F67=G67,"Empate","Derrota")))))</f>
        <v/>
      </c>
      <c r="D67" s="42"/>
      <c r="E67" s="42"/>
      <c r="F67" s="43"/>
      <c r="G67" s="44"/>
      <c r="H67" s="43"/>
      <c r="I67" s="44"/>
      <c r="J67" s="42"/>
      <c r="K67" s="42"/>
      <c r="L67" s="96"/>
    </row>
    <row r="68" spans="1:12" x14ac:dyDescent="0.25">
      <c r="A68" s="42"/>
      <c r="B68" s="84" t="str">
        <f t="shared" si="0"/>
        <v/>
      </c>
      <c r="C68" s="84" t="str">
        <f>IF(F68="","",IF(G68="","",IF(Roster!$D$24="English",IF(F68&gt;G68,"Won",IF(F68=G68,"Tied","Lost")),IF(F68&gt;G68,"Victoria",IF(F68=G68,"Empate","Derrota")))))</f>
        <v/>
      </c>
      <c r="D68" s="42"/>
      <c r="E68" s="42"/>
      <c r="F68" s="43"/>
      <c r="G68" s="44"/>
      <c r="H68" s="43"/>
      <c r="I68" s="44"/>
      <c r="J68" s="42"/>
      <c r="K68" s="42"/>
      <c r="L68" s="96"/>
    </row>
    <row r="69" spans="1:12" x14ac:dyDescent="0.25">
      <c r="A69" s="42"/>
      <c r="B69" s="84" t="str">
        <f t="shared" si="0"/>
        <v/>
      </c>
      <c r="C69" s="84" t="str">
        <f>IF(F69="","",IF(G69="","",IF(Roster!$D$24="English",IF(F69&gt;G69,"Won",IF(F69=G69,"Tied","Lost")),IF(F69&gt;G69,"Victoria",IF(F69=G69,"Empate","Derrota")))))</f>
        <v/>
      </c>
      <c r="D69" s="42"/>
      <c r="E69" s="42"/>
      <c r="F69" s="43"/>
      <c r="G69" s="44"/>
      <c r="H69" s="43"/>
      <c r="I69" s="44"/>
      <c r="J69" s="42"/>
      <c r="K69" s="42"/>
      <c r="L69" s="96"/>
    </row>
    <row r="70" spans="1:12" x14ac:dyDescent="0.25">
      <c r="A70" s="42"/>
      <c r="B70" s="84" t="str">
        <f t="shared" si="0"/>
        <v/>
      </c>
      <c r="C70" s="84" t="str">
        <f>IF(F70="","",IF(G70="","",IF(Roster!$D$24="English",IF(F70&gt;G70,"Won",IF(F70=G70,"Tied","Lost")),IF(F70&gt;G70,"Victoria",IF(F70=G70,"Empate","Derrota")))))</f>
        <v/>
      </c>
      <c r="D70" s="42"/>
      <c r="E70" s="42"/>
      <c r="F70" s="43"/>
      <c r="G70" s="44"/>
      <c r="H70" s="43"/>
      <c r="I70" s="44"/>
      <c r="J70" s="42"/>
      <c r="K70" s="42"/>
      <c r="L70" s="96"/>
    </row>
    <row r="71" spans="1:12" x14ac:dyDescent="0.25">
      <c r="A71" s="42"/>
      <c r="B71" s="84" t="str">
        <f t="shared" si="0"/>
        <v/>
      </c>
      <c r="C71" s="84" t="str">
        <f>IF(F71="","",IF(G71="","",IF(Roster!$D$24="English",IF(F71&gt;G71,"Won",IF(F71=G71,"Tied","Lost")),IF(F71&gt;G71,"Victoria",IF(F71=G71,"Empate","Derrota")))))</f>
        <v/>
      </c>
      <c r="D71" s="42"/>
      <c r="E71" s="42"/>
      <c r="F71" s="43"/>
      <c r="G71" s="44"/>
      <c r="H71" s="43"/>
      <c r="I71" s="44"/>
      <c r="J71" s="42"/>
      <c r="K71" s="42"/>
      <c r="L71" s="96"/>
    </row>
    <row r="72" spans="1:12" x14ac:dyDescent="0.25">
      <c r="A72" s="42"/>
      <c r="B72" s="84" t="str">
        <f t="shared" si="0"/>
        <v/>
      </c>
      <c r="C72" s="84" t="str">
        <f>IF(F72="","",IF(G72="","",IF(Roster!$D$24="English",IF(F72&gt;G72,"Won",IF(F72=G72,"Tied","Lost")),IF(F72&gt;G72,"Victoria",IF(F72=G72,"Empate","Derrota")))))</f>
        <v/>
      </c>
      <c r="D72" s="42"/>
      <c r="E72" s="42"/>
      <c r="F72" s="43"/>
      <c r="G72" s="44"/>
      <c r="H72" s="43"/>
      <c r="I72" s="44"/>
      <c r="J72" s="42"/>
      <c r="K72" s="42"/>
      <c r="L72" s="96"/>
    </row>
    <row r="73" spans="1:12" x14ac:dyDescent="0.25">
      <c r="A73" s="42"/>
      <c r="B73" s="84" t="str">
        <f t="shared" si="0"/>
        <v/>
      </c>
      <c r="C73" s="84" t="str">
        <f>IF(F73="","",IF(G73="","",IF(Roster!$D$24="English",IF(F73&gt;G73,"Won",IF(F73=G73,"Tied","Lost")),IF(F73&gt;G73,"Victoria",IF(F73=G73,"Empate","Derrota")))))</f>
        <v/>
      </c>
      <c r="D73" s="42"/>
      <c r="E73" s="42"/>
      <c r="F73" s="43"/>
      <c r="G73" s="44"/>
      <c r="H73" s="43"/>
      <c r="I73" s="44"/>
      <c r="J73" s="42"/>
      <c r="K73" s="42"/>
      <c r="L73" s="96"/>
    </row>
    <row r="74" spans="1:12" x14ac:dyDescent="0.25">
      <c r="A74" s="42"/>
      <c r="B74" s="84" t="str">
        <f t="shared" si="0"/>
        <v/>
      </c>
      <c r="C74" s="84" t="str">
        <f>IF(F74="","",IF(G74="","",IF(Roster!$D$24="English",IF(F74&gt;G74,"Won",IF(F74=G74,"Tied","Lost")),IF(F74&gt;G74,"Victoria",IF(F74=G74,"Empate","Derrota")))))</f>
        <v/>
      </c>
      <c r="D74" s="42"/>
      <c r="E74" s="42"/>
      <c r="F74" s="43"/>
      <c r="G74" s="44"/>
      <c r="H74" s="43"/>
      <c r="I74" s="44"/>
      <c r="J74" s="42"/>
      <c r="K74" s="42"/>
      <c r="L74" s="96"/>
    </row>
    <row r="75" spans="1:12" x14ac:dyDescent="0.25">
      <c r="A75" s="42"/>
      <c r="B75" s="84" t="str">
        <f t="shared" si="0"/>
        <v/>
      </c>
      <c r="C75" s="84" t="str">
        <f>IF(F75="","",IF(G75="","",IF(Roster!$D$24="English",IF(F75&gt;G75,"Won",IF(F75=G75,"Tied","Lost")),IF(F75&gt;G75,"Victoria",IF(F75=G75,"Empate","Derrota")))))</f>
        <v/>
      </c>
      <c r="D75" s="42"/>
      <c r="E75" s="42"/>
      <c r="F75" s="43"/>
      <c r="G75" s="44"/>
      <c r="H75" s="43"/>
      <c r="I75" s="44"/>
      <c r="J75" s="42"/>
      <c r="K75" s="42"/>
      <c r="L75" s="96"/>
    </row>
    <row r="76" spans="1:12" x14ac:dyDescent="0.25">
      <c r="A76" s="42"/>
      <c r="B76" s="84" t="str">
        <f t="shared" si="0"/>
        <v/>
      </c>
      <c r="C76" s="84" t="str">
        <f>IF(F76="","",IF(G76="","",IF(Roster!$D$24="English",IF(F76&gt;G76,"Won",IF(F76=G76,"Tied","Lost")),IF(F76&gt;G76,"Victoria",IF(F76=G76,"Empate","Derrota")))))</f>
        <v/>
      </c>
      <c r="D76" s="42"/>
      <c r="E76" s="42"/>
      <c r="F76" s="43"/>
      <c r="G76" s="44"/>
      <c r="H76" s="43"/>
      <c r="I76" s="44"/>
      <c r="J76" s="42"/>
      <c r="K76" s="42"/>
      <c r="L76" s="96"/>
    </row>
    <row r="77" spans="1:12" x14ac:dyDescent="0.25">
      <c r="A77" s="42"/>
      <c r="B77" s="84" t="str">
        <f t="shared" si="0"/>
        <v/>
      </c>
      <c r="C77" s="84" t="str">
        <f>IF(F77="","",IF(G77="","",IF(Roster!$D$24="English",IF(F77&gt;G77,"Won",IF(F77=G77,"Tied","Lost")),IF(F77&gt;G77,"Victoria",IF(F77=G77,"Empate","Derrota")))))</f>
        <v/>
      </c>
      <c r="D77" s="42"/>
      <c r="E77" s="42"/>
      <c r="F77" s="43"/>
      <c r="G77" s="44"/>
      <c r="H77" s="43"/>
      <c r="I77" s="44"/>
      <c r="J77" s="42"/>
      <c r="K77" s="42"/>
      <c r="L77" s="96"/>
    </row>
    <row r="78" spans="1:12" x14ac:dyDescent="0.25">
      <c r="A78" s="42"/>
      <c r="B78" s="84" t="str">
        <f t="shared" si="0"/>
        <v/>
      </c>
      <c r="C78" s="84" t="str">
        <f>IF(F78="","",IF(G78="","",IF(Roster!$D$24="English",IF(F78&gt;G78,"Won",IF(F78=G78,"Tied","Lost")),IF(F78&gt;G78,"Victoria",IF(F78=G78,"Empate","Derrota")))))</f>
        <v/>
      </c>
      <c r="D78" s="42"/>
      <c r="E78" s="42"/>
      <c r="F78" s="43"/>
      <c r="G78" s="44"/>
      <c r="H78" s="43"/>
      <c r="I78" s="44"/>
      <c r="J78" s="42"/>
      <c r="K78" s="42"/>
      <c r="L78" s="96"/>
    </row>
    <row r="79" spans="1:12" x14ac:dyDescent="0.25">
      <c r="A79" s="42"/>
      <c r="B79" s="84" t="str">
        <f t="shared" si="0"/>
        <v/>
      </c>
      <c r="C79" s="84" t="str">
        <f>IF(F79="","",IF(G79="","",IF(Roster!$D$24="English",IF(F79&gt;G79,"Won",IF(F79=G79,"Tied","Lost")),IF(F79&gt;G79,"Victoria",IF(F79=G79,"Empate","Derrota")))))</f>
        <v/>
      </c>
      <c r="D79" s="42"/>
      <c r="E79" s="42"/>
      <c r="F79" s="43"/>
      <c r="G79" s="44"/>
      <c r="H79" s="43"/>
      <c r="I79" s="44"/>
      <c r="J79" s="42"/>
      <c r="K79" s="42"/>
      <c r="L79" s="96"/>
    </row>
    <row r="80" spans="1:12" x14ac:dyDescent="0.25">
      <c r="A80" s="42"/>
      <c r="B80" s="84" t="str">
        <f t="shared" si="0"/>
        <v/>
      </c>
      <c r="C80" s="84" t="str">
        <f>IF(F80="","",IF(G80="","",IF(Roster!$D$24="English",IF(F80&gt;G80,"Won",IF(F80=G80,"Tied","Lost")),IF(F80&gt;G80,"Victoria",IF(F80=G80,"Empate","Derrota")))))</f>
        <v/>
      </c>
      <c r="D80" s="42"/>
      <c r="E80" s="42"/>
      <c r="F80" s="43"/>
      <c r="G80" s="44"/>
      <c r="H80" s="43"/>
      <c r="I80" s="44"/>
      <c r="J80" s="42"/>
      <c r="K80" s="42"/>
      <c r="L80" s="96"/>
    </row>
    <row r="81" spans="1:12" x14ac:dyDescent="0.25">
      <c r="A81" s="42"/>
      <c r="B81" s="84" t="str">
        <f t="shared" si="0"/>
        <v/>
      </c>
      <c r="C81" s="84" t="str">
        <f>IF(F81="","",IF(G81="","",IF(Roster!$D$24="English",IF(F81&gt;G81,"Won",IF(F81=G81,"Tied","Lost")),IF(F81&gt;G81,"Victoria",IF(F81=G81,"Empate","Derrota")))))</f>
        <v/>
      </c>
      <c r="D81" s="42"/>
      <c r="E81" s="42"/>
      <c r="F81" s="43"/>
      <c r="G81" s="44"/>
      <c r="H81" s="43"/>
      <c r="I81" s="44"/>
      <c r="J81" s="42"/>
      <c r="K81" s="42"/>
      <c r="L81" s="96"/>
    </row>
    <row r="82" spans="1:12" x14ac:dyDescent="0.25">
      <c r="A82" s="42"/>
      <c r="B82" s="84" t="str">
        <f t="shared" si="0"/>
        <v/>
      </c>
      <c r="C82" s="84" t="str">
        <f>IF(F82="","",IF(G82="","",IF(Roster!$D$24="English",IF(F82&gt;G82,"Won",IF(F82=G82,"Tied","Lost")),IF(F82&gt;G82,"Victoria",IF(F82=G82,"Empate","Derrota")))))</f>
        <v/>
      </c>
      <c r="D82" s="42"/>
      <c r="E82" s="42"/>
      <c r="F82" s="43"/>
      <c r="G82" s="44"/>
      <c r="H82" s="43"/>
      <c r="I82" s="44"/>
      <c r="J82" s="42"/>
      <c r="K82" s="42"/>
      <c r="L82" s="96"/>
    </row>
    <row r="83" spans="1:12" x14ac:dyDescent="0.25">
      <c r="A83" s="42"/>
      <c r="B83" s="84" t="str">
        <f t="shared" si="0"/>
        <v/>
      </c>
      <c r="C83" s="84" t="str">
        <f>IF(F83="","",IF(G83="","",IF(Roster!$D$24="English",IF(F83&gt;G83,"Won",IF(F83=G83,"Tied","Lost")),IF(F83&gt;G83,"Victoria",IF(F83=G83,"Empate","Derrota")))))</f>
        <v/>
      </c>
      <c r="D83" s="42"/>
      <c r="E83" s="42"/>
      <c r="F83" s="43"/>
      <c r="G83" s="44"/>
      <c r="H83" s="43"/>
      <c r="I83" s="44"/>
      <c r="J83" s="42"/>
      <c r="K83" s="42"/>
      <c r="L83" s="96"/>
    </row>
    <row r="84" spans="1:12" x14ac:dyDescent="0.25">
      <c r="A84" s="42"/>
      <c r="B84" s="84" t="str">
        <f t="shared" si="0"/>
        <v/>
      </c>
      <c r="C84" s="84" t="str">
        <f>IF(F84="","",IF(G84="","",IF(Roster!$D$24="English",IF(F84&gt;G84,"Won",IF(F84=G84,"Tied","Lost")),IF(F84&gt;G84,"Victoria",IF(F84=G84,"Empate","Derrota")))))</f>
        <v/>
      </c>
      <c r="D84" s="42"/>
      <c r="E84" s="42"/>
      <c r="F84" s="43"/>
      <c r="G84" s="44"/>
      <c r="H84" s="43"/>
      <c r="I84" s="44"/>
      <c r="J84" s="42"/>
      <c r="K84" s="42"/>
      <c r="L84" s="96"/>
    </row>
    <row r="85" spans="1:12" x14ac:dyDescent="0.25">
      <c r="A85" s="42"/>
      <c r="B85" s="84" t="str">
        <f t="shared" si="0"/>
        <v/>
      </c>
      <c r="C85" s="84" t="str">
        <f>IF(F85="","",IF(G85="","",IF(Roster!$D$24="English",IF(F85&gt;G85,"Won",IF(F85=G85,"Tied","Lost")),IF(F85&gt;G85,"Victoria",IF(F85=G85,"Empate","Derrota")))))</f>
        <v/>
      </c>
      <c r="D85" s="42"/>
      <c r="E85" s="42"/>
      <c r="F85" s="43"/>
      <c r="G85" s="44"/>
      <c r="H85" s="43"/>
      <c r="I85" s="44"/>
      <c r="J85" s="42"/>
      <c r="K85" s="42"/>
      <c r="L85" s="96"/>
    </row>
    <row r="86" spans="1:12" x14ac:dyDescent="0.25">
      <c r="A86" s="42"/>
      <c r="B86" s="84" t="str">
        <f t="shared" si="0"/>
        <v/>
      </c>
      <c r="C86" s="84" t="str">
        <f>IF(F86="","",IF(G86="","",IF(Roster!$D$24="English",IF(F86&gt;G86,"Won",IF(F86=G86,"Tied","Lost")),IF(F86&gt;G86,"Victoria",IF(F86=G86,"Empate","Derrota")))))</f>
        <v/>
      </c>
      <c r="D86" s="42"/>
      <c r="E86" s="42"/>
      <c r="F86" s="43"/>
      <c r="G86" s="44"/>
      <c r="H86" s="43"/>
      <c r="I86" s="44"/>
      <c r="J86" s="42"/>
      <c r="K86" s="42"/>
      <c r="L86" s="96"/>
    </row>
    <row r="87" spans="1:12" x14ac:dyDescent="0.25">
      <c r="A87" s="42"/>
      <c r="B87" s="84" t="str">
        <f t="shared" si="0"/>
        <v/>
      </c>
      <c r="C87" s="84" t="str">
        <f>IF(F87="","",IF(G87="","",IF(Roster!$D$24="English",IF(F87&gt;G87,"Won",IF(F87=G87,"Tied","Lost")),IF(F87&gt;G87,"Victoria",IF(F87=G87,"Empate","Derrota")))))</f>
        <v/>
      </c>
      <c r="D87" s="42"/>
      <c r="E87" s="42"/>
      <c r="F87" s="43"/>
      <c r="G87" s="44"/>
      <c r="H87" s="43"/>
      <c r="I87" s="44"/>
      <c r="J87" s="42"/>
      <c r="K87" s="42"/>
      <c r="L87" s="96"/>
    </row>
    <row r="88" spans="1:12" x14ac:dyDescent="0.25">
      <c r="A88" s="42"/>
      <c r="B88" s="84" t="str">
        <f t="shared" si="0"/>
        <v/>
      </c>
      <c r="C88" s="84" t="str">
        <f>IF(F88="","",IF(G88="","",IF(Roster!$D$24="English",IF(F88&gt;G88,"Won",IF(F88=G88,"Tied","Lost")),IF(F88&gt;G88,"Victoria",IF(F88=G88,"Empate","Derrota")))))</f>
        <v/>
      </c>
      <c r="D88" s="42"/>
      <c r="E88" s="42"/>
      <c r="F88" s="43"/>
      <c r="G88" s="44"/>
      <c r="H88" s="43"/>
      <c r="I88" s="44"/>
      <c r="J88" s="42"/>
      <c r="K88" s="42"/>
      <c r="L88" s="96"/>
    </row>
    <row r="89" spans="1:12" x14ac:dyDescent="0.25">
      <c r="A89" s="42"/>
      <c r="B89" s="84" t="str">
        <f t="shared" si="0"/>
        <v/>
      </c>
      <c r="C89" s="84" t="str">
        <f>IF(F89="","",IF(G89="","",IF(Roster!$D$24="English",IF(F89&gt;G89,"Won",IF(F89=G89,"Tied","Lost")),IF(F89&gt;G89,"Victoria",IF(F89=G89,"Empate","Derrota")))))</f>
        <v/>
      </c>
      <c r="D89" s="42"/>
      <c r="E89" s="42"/>
      <c r="F89" s="43"/>
      <c r="G89" s="44"/>
      <c r="H89" s="43"/>
      <c r="I89" s="44"/>
      <c r="J89" s="42"/>
      <c r="K89" s="42"/>
      <c r="L89" s="96"/>
    </row>
    <row r="90" spans="1:12" x14ac:dyDescent="0.25">
      <c r="A90" s="42"/>
      <c r="B90" s="84" t="str">
        <f t="shared" si="0"/>
        <v/>
      </c>
      <c r="C90" s="84" t="str">
        <f>IF(F90="","",IF(G90="","",IF(Roster!$D$24="English",IF(F90&gt;G90,"Won",IF(F90=G90,"Tied","Lost")),IF(F90&gt;G90,"Victoria",IF(F90=G90,"Empate","Derrota")))))</f>
        <v/>
      </c>
      <c r="D90" s="42"/>
      <c r="E90" s="42"/>
      <c r="F90" s="43"/>
      <c r="G90" s="44"/>
      <c r="H90" s="43"/>
      <c r="I90" s="44"/>
      <c r="J90" s="42"/>
      <c r="K90" s="42"/>
      <c r="L90" s="96"/>
    </row>
    <row r="91" spans="1:12" x14ac:dyDescent="0.25">
      <c r="A91" s="42"/>
      <c r="B91" s="84" t="str">
        <f t="shared" si="0"/>
        <v/>
      </c>
      <c r="C91" s="84" t="str">
        <f>IF(F91="","",IF(G91="","",IF(Roster!$D$24="English",IF(F91&gt;G91,"Won",IF(F91=G91,"Tied","Lost")),IF(F91&gt;G91,"Victoria",IF(F91=G91,"Empate","Derrota")))))</f>
        <v/>
      </c>
      <c r="D91" s="42"/>
      <c r="E91" s="42"/>
      <c r="F91" s="43"/>
      <c r="G91" s="44"/>
      <c r="H91" s="43"/>
      <c r="I91" s="44"/>
      <c r="J91" s="42"/>
      <c r="K91" s="42"/>
      <c r="L91" s="96"/>
    </row>
    <row r="92" spans="1:12" x14ac:dyDescent="0.25">
      <c r="A92" s="42"/>
      <c r="B92" s="84" t="str">
        <f t="shared" si="0"/>
        <v/>
      </c>
      <c r="C92" s="84" t="str">
        <f>IF(F92="","",IF(G92="","",IF(Roster!$D$24="English",IF(F92&gt;G92,"Won",IF(F92=G92,"Tied","Lost")),IF(F92&gt;G92,"Victoria",IF(F92=G92,"Empate","Derrota")))))</f>
        <v/>
      </c>
      <c r="D92" s="42"/>
      <c r="E92" s="42"/>
      <c r="F92" s="43"/>
      <c r="G92" s="44"/>
      <c r="H92" s="43"/>
      <c r="I92" s="44"/>
      <c r="J92" s="42"/>
      <c r="K92" s="42"/>
      <c r="L92" s="96"/>
    </row>
    <row r="93" spans="1:12" x14ac:dyDescent="0.25">
      <c r="A93" s="42"/>
      <c r="B93" s="84" t="str">
        <f t="shared" si="0"/>
        <v/>
      </c>
      <c r="C93" s="84" t="str">
        <f>IF(F93="","",IF(G93="","",IF(Roster!$D$24="English",IF(F93&gt;G93,"Won",IF(F93=G93,"Tied","Lost")),IF(F93&gt;G93,"Victoria",IF(F93=G93,"Empate","Derrota")))))</f>
        <v/>
      </c>
      <c r="D93" s="42"/>
      <c r="E93" s="42"/>
      <c r="F93" s="43"/>
      <c r="G93" s="44"/>
      <c r="H93" s="43"/>
      <c r="I93" s="44"/>
      <c r="J93" s="42"/>
      <c r="K93" s="42"/>
      <c r="L93" s="96"/>
    </row>
    <row r="94" spans="1:12" x14ac:dyDescent="0.25">
      <c r="A94" s="42"/>
      <c r="B94" s="84" t="str">
        <f t="shared" si="0"/>
        <v/>
      </c>
      <c r="C94" s="84" t="str">
        <f>IF(F94="","",IF(G94="","",IF(Roster!$D$24="English",IF(F94&gt;G94,"Won",IF(F94=G94,"Tied","Lost")),IF(F94&gt;G94,"Victoria",IF(F94=G94,"Empate","Derrota")))))</f>
        <v/>
      </c>
      <c r="D94" s="42"/>
      <c r="E94" s="42"/>
      <c r="F94" s="43"/>
      <c r="G94" s="44"/>
      <c r="H94" s="43"/>
      <c r="I94" s="44"/>
      <c r="J94" s="42"/>
      <c r="K94" s="42"/>
      <c r="L94" s="96"/>
    </row>
    <row r="95" spans="1:12" x14ac:dyDescent="0.25">
      <c r="A95" s="42"/>
      <c r="B95" s="84" t="str">
        <f t="shared" si="0"/>
        <v/>
      </c>
      <c r="C95" s="84" t="str">
        <f>IF(F95="","",IF(G95="","",IF(Roster!$D$24="English",IF(F95&gt;G95,"Won",IF(F95=G95,"Tied","Lost")),IF(F95&gt;G95,"Victoria",IF(F95=G95,"Empate","Derrota")))))</f>
        <v/>
      </c>
      <c r="D95" s="42"/>
      <c r="E95" s="42"/>
      <c r="F95" s="43"/>
      <c r="G95" s="44"/>
      <c r="H95" s="43"/>
      <c r="I95" s="44"/>
      <c r="J95" s="42"/>
      <c r="K95" s="42"/>
      <c r="L95" s="96"/>
    </row>
    <row r="96" spans="1:12" x14ac:dyDescent="0.25">
      <c r="A96" s="42"/>
      <c r="B96" s="84" t="str">
        <f t="shared" si="0"/>
        <v/>
      </c>
      <c r="C96" s="84" t="str">
        <f>IF(F96="","",IF(G96="","",IF(Roster!$D$24="English",IF(F96&gt;G96,"Won",IF(F96=G96,"Tied","Lost")),IF(F96&gt;G96,"Victoria",IF(F96=G96,"Empate","Derrota")))))</f>
        <v/>
      </c>
      <c r="D96" s="42"/>
      <c r="E96" s="42"/>
      <c r="F96" s="43"/>
      <c r="G96" s="44"/>
      <c r="H96" s="43"/>
      <c r="I96" s="44"/>
      <c r="J96" s="42"/>
      <c r="K96" s="42"/>
      <c r="L96" s="96"/>
    </row>
    <row r="97" spans="1:12" x14ac:dyDescent="0.25">
      <c r="A97" s="42"/>
      <c r="B97" s="84" t="str">
        <f t="shared" si="0"/>
        <v/>
      </c>
      <c r="C97" s="84" t="str">
        <f>IF(F97="","",IF(G97="","",IF(Roster!$D$24="English",IF(F97&gt;G97,"Won",IF(F97=G97,"Tied","Lost")),IF(F97&gt;G97,"Victoria",IF(F97=G97,"Empate","Derrota")))))</f>
        <v/>
      </c>
      <c r="D97" s="42"/>
      <c r="E97" s="42"/>
      <c r="F97" s="43"/>
      <c r="G97" s="44"/>
      <c r="H97" s="43"/>
      <c r="I97" s="44"/>
      <c r="J97" s="42"/>
      <c r="K97" s="42"/>
      <c r="L97" s="96"/>
    </row>
    <row r="98" spans="1:12" x14ac:dyDescent="0.25">
      <c r="A98" s="42"/>
      <c r="B98" s="84" t="str">
        <f t="shared" si="0"/>
        <v/>
      </c>
      <c r="C98" s="84" t="str">
        <f>IF(F98="","",IF(G98="","",IF(Roster!$D$24="English",IF(F98&gt;G98,"Won",IF(F98=G98,"Tied","Lost")),IF(F98&gt;G98,"Victoria",IF(F98=G98,"Empate","Derrota")))))</f>
        <v/>
      </c>
      <c r="D98" s="42"/>
      <c r="E98" s="42"/>
      <c r="F98" s="43"/>
      <c r="G98" s="44"/>
      <c r="H98" s="43"/>
      <c r="I98" s="44"/>
      <c r="J98" s="42"/>
      <c r="K98" s="42"/>
      <c r="L98" s="96"/>
    </row>
    <row r="99" spans="1:12" x14ac:dyDescent="0.25">
      <c r="A99" s="42"/>
      <c r="B99" s="84" t="str">
        <f t="shared" si="0"/>
        <v/>
      </c>
      <c r="C99" s="84" t="str">
        <f>IF(F99="","",IF(G99="","",IF(Roster!$D$24="English",IF(F99&gt;G99,"Won",IF(F99=G99,"Tied","Lost")),IF(F99&gt;G99,"Victoria",IF(F99=G99,"Empate","Derrota")))))</f>
        <v/>
      </c>
      <c r="D99" s="42"/>
      <c r="E99" s="42"/>
      <c r="F99" s="43"/>
      <c r="G99" s="44"/>
      <c r="H99" s="43"/>
      <c r="I99" s="44"/>
      <c r="J99" s="42"/>
      <c r="K99" s="42"/>
      <c r="L99" s="96"/>
    </row>
    <row r="100" spans="1:12" x14ac:dyDescent="0.25">
      <c r="A100" s="42"/>
      <c r="B100" s="84" t="str">
        <f t="shared" si="0"/>
        <v/>
      </c>
      <c r="C100" s="84" t="str">
        <f>IF(F100="","",IF(G100="","",IF(Roster!$D$24="English",IF(F100&gt;G100,"Won",IF(F100=G100,"Tied","Lost")),IF(F100&gt;G100,"Victoria",IF(F100=G100,"Empate","Derrota")))))</f>
        <v/>
      </c>
      <c r="D100" s="42"/>
      <c r="E100" s="42"/>
      <c r="F100" s="43"/>
      <c r="G100" s="44"/>
      <c r="H100" s="43"/>
      <c r="I100" s="44"/>
      <c r="J100" s="42"/>
      <c r="K100" s="42"/>
      <c r="L100" s="96"/>
    </row>
    <row r="101" spans="1:12" x14ac:dyDescent="0.25">
      <c r="A101" s="42"/>
      <c r="B101" s="84" t="str">
        <f t="shared" si="0"/>
        <v/>
      </c>
      <c r="C101" s="84" t="str">
        <f>IF(F101="","",IF(G101="","",IF(Roster!$D$24="English",IF(F101&gt;G101,"Won",IF(F101=G101,"Tied","Lost")),IF(F101&gt;G101,"Victoria",IF(F101=G101,"Empate","Derrota")))))</f>
        <v/>
      </c>
      <c r="D101" s="42"/>
      <c r="E101" s="42"/>
      <c r="F101" s="43"/>
      <c r="G101" s="44"/>
      <c r="H101" s="43"/>
      <c r="I101" s="44"/>
      <c r="J101" s="42"/>
      <c r="K101" s="42"/>
      <c r="L101" s="96"/>
    </row>
    <row r="102" spans="1:12" x14ac:dyDescent="0.25">
      <c r="A102" s="42"/>
      <c r="B102" s="84" t="str">
        <f t="shared" si="0"/>
        <v/>
      </c>
      <c r="C102" s="84" t="str">
        <f>IF(F102="","",IF(G102="","",IF(Roster!$D$24="English",IF(F102&gt;G102,"Won",IF(F102=G102,"Tied","Lost")),IF(F102&gt;G102,"Victoria",IF(F102=G102,"Empate","Derrota")))))</f>
        <v/>
      </c>
      <c r="D102" s="42"/>
      <c r="E102" s="42"/>
      <c r="F102" s="43"/>
      <c r="G102" s="44"/>
      <c r="H102" s="43"/>
      <c r="I102" s="44"/>
      <c r="J102" s="42"/>
      <c r="K102" s="42"/>
      <c r="L102" s="96"/>
    </row>
    <row r="103" spans="1:12" x14ac:dyDescent="0.25">
      <c r="A103" s="42"/>
      <c r="B103" s="84" t="str">
        <f t="shared" si="0"/>
        <v/>
      </c>
      <c r="C103" s="84" t="str">
        <f>IF(F103="","",IF(G103="","",IF(Roster!$D$24="English",IF(F103&gt;G103,"Won",IF(F103=G103,"Tied","Lost")),IF(F103&gt;G103,"Victoria",IF(F103=G103,"Empate","Derrota")))))</f>
        <v/>
      </c>
      <c r="D103" s="42"/>
      <c r="E103" s="42"/>
      <c r="F103" s="43"/>
      <c r="G103" s="44"/>
      <c r="H103" s="43"/>
      <c r="I103" s="44"/>
      <c r="J103" s="42"/>
      <c r="K103" s="42"/>
      <c r="L103" s="96"/>
    </row>
    <row r="104" spans="1:12" x14ac:dyDescent="0.25">
      <c r="A104" s="42"/>
      <c r="B104" s="84" t="str">
        <f t="shared" si="0"/>
        <v/>
      </c>
      <c r="C104" s="84" t="str">
        <f>IF(F104="","",IF(G104="","",IF(Roster!$D$24="English",IF(F104&gt;G104,"Won",IF(F104=G104,"Tied","Lost")),IF(F104&gt;G104,"Victoria",IF(F104=G104,"Empate","Derrota")))))</f>
        <v/>
      </c>
      <c r="D104" s="42"/>
      <c r="E104" s="42"/>
      <c r="F104" s="43"/>
      <c r="G104" s="44"/>
      <c r="H104" s="43"/>
      <c r="I104" s="44"/>
      <c r="J104" s="42"/>
      <c r="K104" s="42"/>
      <c r="L104" s="96"/>
    </row>
    <row r="105" spans="1:12" x14ac:dyDescent="0.25">
      <c r="A105" s="42"/>
      <c r="B105" s="84" t="str">
        <f t="shared" si="0"/>
        <v/>
      </c>
      <c r="C105" s="84" t="str">
        <f>IF(F105="","",IF(G105="","",IF(Roster!$D$24="English",IF(F105&gt;G105,"Won",IF(F105=G105,"Tied","Lost")),IF(F105&gt;G105,"Victoria",IF(F105=G105,"Empate","Derrota")))))</f>
        <v/>
      </c>
      <c r="D105" s="42"/>
      <c r="E105" s="42"/>
      <c r="F105" s="43"/>
      <c r="G105" s="44"/>
      <c r="H105" s="43"/>
      <c r="I105" s="44"/>
      <c r="J105" s="42"/>
      <c r="K105" s="42"/>
      <c r="L105" s="96"/>
    </row>
    <row r="106" spans="1:12" x14ac:dyDescent="0.25">
      <c r="A106" s="42"/>
      <c r="B106" s="84" t="str">
        <f t="shared" ref="B106:B133" si="1">IF(D106="",IF(E106="",IF(F106="",IF(G106="",IF(H106="",IF(I106="",IF(J106="",IF(K106="","",39),39),39),39),39),39),39),39)</f>
        <v/>
      </c>
      <c r="C106" s="84" t="str">
        <f>IF(F106="","",IF(G106="","",IF(Roster!$D$24="English",IF(F106&gt;G106,"Won",IF(F106=G106,"Tied","Lost")),IF(F106&gt;G106,"Victoria",IF(F106=G106,"Empate","Derrota")))))</f>
        <v/>
      </c>
      <c r="D106" s="42"/>
      <c r="E106" s="42"/>
      <c r="F106" s="43"/>
      <c r="G106" s="44"/>
      <c r="H106" s="43"/>
      <c r="I106" s="44"/>
      <c r="J106" s="42"/>
      <c r="K106" s="42"/>
      <c r="L106" s="96"/>
    </row>
    <row r="107" spans="1:12" x14ac:dyDescent="0.25">
      <c r="A107" s="42"/>
      <c r="B107" s="84" t="str">
        <f t="shared" si="1"/>
        <v/>
      </c>
      <c r="C107" s="84" t="str">
        <f>IF(F107="","",IF(G107="","",IF(Roster!$D$24="English",IF(F107&gt;G107,"Won",IF(F107=G107,"Tied","Lost")),IF(F107&gt;G107,"Victoria",IF(F107=G107,"Empate","Derrota")))))</f>
        <v/>
      </c>
      <c r="D107" s="42"/>
      <c r="E107" s="42"/>
      <c r="F107" s="43"/>
      <c r="G107" s="44"/>
      <c r="H107" s="43"/>
      <c r="I107" s="44"/>
      <c r="J107" s="42"/>
      <c r="K107" s="42"/>
      <c r="L107" s="96"/>
    </row>
    <row r="108" spans="1:12" x14ac:dyDescent="0.25">
      <c r="A108" s="42"/>
      <c r="B108" s="84" t="str">
        <f t="shared" si="1"/>
        <v/>
      </c>
      <c r="C108" s="84" t="str">
        <f>IF(F108="","",IF(G108="","",IF(Roster!$D$24="English",IF(F108&gt;G108,"Won",IF(F108=G108,"Tied","Lost")),IF(F108&gt;G108,"Victoria",IF(F108=G108,"Empate","Derrota")))))</f>
        <v/>
      </c>
      <c r="D108" s="42"/>
      <c r="E108" s="42"/>
      <c r="F108" s="43"/>
      <c r="G108" s="44"/>
      <c r="H108" s="43"/>
      <c r="I108" s="44"/>
      <c r="J108" s="42"/>
      <c r="K108" s="42"/>
      <c r="L108" s="96"/>
    </row>
    <row r="109" spans="1:12" x14ac:dyDescent="0.25">
      <c r="A109" s="42"/>
      <c r="B109" s="84" t="str">
        <f t="shared" si="1"/>
        <v/>
      </c>
      <c r="C109" s="84" t="str">
        <f>IF(F109="","",IF(G109="","",IF(Roster!$D$24="English",IF(F109&gt;G109,"Won",IF(F109=G109,"Tied","Lost")),IF(F109&gt;G109,"Victoria",IF(F109=G109,"Empate","Derrota")))))</f>
        <v/>
      </c>
      <c r="D109" s="42"/>
      <c r="E109" s="42"/>
      <c r="F109" s="43"/>
      <c r="G109" s="44"/>
      <c r="H109" s="43"/>
      <c r="I109" s="44"/>
      <c r="J109" s="42"/>
      <c r="K109" s="42"/>
      <c r="L109" s="96"/>
    </row>
    <row r="110" spans="1:12" x14ac:dyDescent="0.25">
      <c r="A110" s="42"/>
      <c r="B110" s="84" t="str">
        <f t="shared" si="1"/>
        <v/>
      </c>
      <c r="C110" s="84" t="str">
        <f>IF(F110="","",IF(G110="","",IF(Roster!$D$24="English",IF(F110&gt;G110,"Won",IF(F110=G110,"Tied","Lost")),IF(F110&gt;G110,"Victoria",IF(F110=G110,"Empate","Derrota")))))</f>
        <v/>
      </c>
      <c r="D110" s="42"/>
      <c r="E110" s="42"/>
      <c r="F110" s="43"/>
      <c r="G110" s="44"/>
      <c r="H110" s="43"/>
      <c r="I110" s="44"/>
      <c r="J110" s="42"/>
      <c r="K110" s="42"/>
      <c r="L110" s="96"/>
    </row>
    <row r="111" spans="1:12" x14ac:dyDescent="0.25">
      <c r="A111" s="42"/>
      <c r="B111" s="84" t="str">
        <f t="shared" si="1"/>
        <v/>
      </c>
      <c r="C111" s="84" t="str">
        <f>IF(F111="","",IF(G111="","",IF(Roster!$D$24="English",IF(F111&gt;G111,"Won",IF(F111=G111,"Tied","Lost")),IF(F111&gt;G111,"Victoria",IF(F111=G111,"Empate","Derrota")))))</f>
        <v/>
      </c>
      <c r="D111" s="42"/>
      <c r="E111" s="42"/>
      <c r="F111" s="43"/>
      <c r="G111" s="44"/>
      <c r="H111" s="43"/>
      <c r="I111" s="44"/>
      <c r="J111" s="42"/>
      <c r="K111" s="42"/>
      <c r="L111" s="96"/>
    </row>
    <row r="112" spans="1:12" x14ac:dyDescent="0.25">
      <c r="A112" s="42"/>
      <c r="B112" s="84" t="str">
        <f t="shared" si="1"/>
        <v/>
      </c>
      <c r="C112" s="84" t="str">
        <f>IF(F112="","",IF(G112="","",IF(Roster!$D$24="English",IF(F112&gt;G112,"Won",IF(F112=G112,"Tied","Lost")),IF(F112&gt;G112,"Victoria",IF(F112=G112,"Empate","Derrota")))))</f>
        <v/>
      </c>
      <c r="D112" s="42"/>
      <c r="E112" s="42"/>
      <c r="F112" s="43"/>
      <c r="G112" s="44"/>
      <c r="H112" s="43"/>
      <c r="I112" s="44"/>
      <c r="J112" s="42"/>
      <c r="K112" s="42"/>
      <c r="L112" s="96"/>
    </row>
    <row r="113" spans="1:12" x14ac:dyDescent="0.25">
      <c r="A113" s="42"/>
      <c r="B113" s="84" t="str">
        <f t="shared" si="1"/>
        <v/>
      </c>
      <c r="C113" s="84" t="str">
        <f>IF(F113="","",IF(G113="","",IF(Roster!$D$24="English",IF(F113&gt;G113,"Won",IF(F113=G113,"Tied","Lost")),IF(F113&gt;G113,"Victoria",IF(F113=G113,"Empate","Derrota")))))</f>
        <v/>
      </c>
      <c r="D113" s="42"/>
      <c r="E113" s="42"/>
      <c r="F113" s="43"/>
      <c r="G113" s="44"/>
      <c r="H113" s="43"/>
      <c r="I113" s="44"/>
      <c r="J113" s="42"/>
      <c r="K113" s="42"/>
      <c r="L113" s="96"/>
    </row>
    <row r="114" spans="1:12" x14ac:dyDescent="0.25">
      <c r="A114" s="42"/>
      <c r="B114" s="84" t="str">
        <f t="shared" si="1"/>
        <v/>
      </c>
      <c r="C114" s="84" t="str">
        <f>IF(F114="","",IF(G114="","",IF(Roster!$D$24="English",IF(F114&gt;G114,"Won",IF(F114=G114,"Tied","Lost")),IF(F114&gt;G114,"Victoria",IF(F114=G114,"Empate","Derrota")))))</f>
        <v/>
      </c>
      <c r="D114" s="42"/>
      <c r="E114" s="42"/>
      <c r="F114" s="43"/>
      <c r="G114" s="44"/>
      <c r="H114" s="43"/>
      <c r="I114" s="44"/>
      <c r="J114" s="42"/>
      <c r="K114" s="42"/>
      <c r="L114" s="96"/>
    </row>
    <row r="115" spans="1:12" x14ac:dyDescent="0.25">
      <c r="A115" s="42"/>
      <c r="B115" s="84" t="str">
        <f t="shared" si="1"/>
        <v/>
      </c>
      <c r="C115" s="84" t="str">
        <f>IF(F115="","",IF(G115="","",IF(Roster!$D$24="English",IF(F115&gt;G115,"Won",IF(F115=G115,"Tied","Lost")),IF(F115&gt;G115,"Victoria",IF(F115=G115,"Empate","Derrota")))))</f>
        <v/>
      </c>
      <c r="D115" s="42"/>
      <c r="E115" s="42"/>
      <c r="F115" s="43"/>
      <c r="G115" s="44"/>
      <c r="H115" s="43"/>
      <c r="I115" s="44"/>
      <c r="J115" s="42"/>
      <c r="K115" s="42"/>
      <c r="L115" s="96"/>
    </row>
    <row r="116" spans="1:12" x14ac:dyDescent="0.25">
      <c r="A116" s="42"/>
      <c r="B116" s="84" t="str">
        <f t="shared" si="1"/>
        <v/>
      </c>
      <c r="C116" s="84" t="str">
        <f>IF(F116="","",IF(G116="","",IF(Roster!$D$24="English",IF(F116&gt;G116,"Won",IF(F116=G116,"Tied","Lost")),IF(F116&gt;G116,"Victoria",IF(F116=G116,"Empate","Derrota")))))</f>
        <v/>
      </c>
      <c r="D116" s="42"/>
      <c r="E116" s="42"/>
      <c r="F116" s="43"/>
      <c r="G116" s="44"/>
      <c r="H116" s="43"/>
      <c r="I116" s="44"/>
      <c r="J116" s="42"/>
      <c r="K116" s="42"/>
      <c r="L116" s="96"/>
    </row>
    <row r="117" spans="1:12" x14ac:dyDescent="0.25">
      <c r="A117" s="42"/>
      <c r="B117" s="84" t="str">
        <f t="shared" si="1"/>
        <v/>
      </c>
      <c r="C117" s="84" t="str">
        <f>IF(F117="","",IF(G117="","",IF(Roster!$D$24="English",IF(F117&gt;G117,"Won",IF(F117=G117,"Tied","Lost")),IF(F117&gt;G117,"Victoria",IF(F117=G117,"Empate","Derrota")))))</f>
        <v/>
      </c>
      <c r="D117" s="42"/>
      <c r="E117" s="42"/>
      <c r="F117" s="43"/>
      <c r="G117" s="44"/>
      <c r="H117" s="43"/>
      <c r="I117" s="44"/>
      <c r="J117" s="42"/>
      <c r="K117" s="42"/>
      <c r="L117" s="96"/>
    </row>
    <row r="118" spans="1:12" x14ac:dyDescent="0.25">
      <c r="A118" s="42"/>
      <c r="B118" s="84" t="str">
        <f t="shared" si="1"/>
        <v/>
      </c>
      <c r="C118" s="84" t="str">
        <f>IF(F118="","",IF(G118="","",IF(Roster!$D$24="English",IF(F118&gt;G118,"Won",IF(F118=G118,"Tied","Lost")),IF(F118&gt;G118,"Victoria",IF(F118=G118,"Empate","Derrota")))))</f>
        <v/>
      </c>
      <c r="D118" s="42"/>
      <c r="E118" s="42"/>
      <c r="F118" s="43"/>
      <c r="G118" s="44"/>
      <c r="H118" s="43"/>
      <c r="I118" s="44"/>
      <c r="J118" s="42"/>
      <c r="K118" s="42"/>
      <c r="L118" s="96"/>
    </row>
    <row r="119" spans="1:12" x14ac:dyDescent="0.25">
      <c r="A119" s="42"/>
      <c r="B119" s="84" t="str">
        <f t="shared" si="1"/>
        <v/>
      </c>
      <c r="C119" s="84" t="str">
        <f>IF(F119="","",IF(G119="","",IF(Roster!$D$24="English",IF(F119&gt;G119,"Won",IF(F119=G119,"Tied","Lost")),IF(F119&gt;G119,"Victoria",IF(F119=G119,"Empate","Derrota")))))</f>
        <v/>
      </c>
      <c r="D119" s="42"/>
      <c r="E119" s="42"/>
      <c r="F119" s="43"/>
      <c r="G119" s="44"/>
      <c r="H119" s="43"/>
      <c r="I119" s="44"/>
      <c r="J119" s="42"/>
      <c r="K119" s="42"/>
      <c r="L119" s="96"/>
    </row>
    <row r="120" spans="1:12" x14ac:dyDescent="0.25">
      <c r="A120" s="42"/>
      <c r="B120" s="84" t="str">
        <f t="shared" si="1"/>
        <v/>
      </c>
      <c r="C120" s="84" t="str">
        <f>IF(F120="","",IF(G120="","",IF(Roster!$D$24="English",IF(F120&gt;G120,"Won",IF(F120=G120,"Tied","Lost")),IF(F120&gt;G120,"Victoria",IF(F120=G120,"Empate","Derrota")))))</f>
        <v/>
      </c>
      <c r="D120" s="42"/>
      <c r="E120" s="42"/>
      <c r="F120" s="43"/>
      <c r="G120" s="44"/>
      <c r="H120" s="43"/>
      <c r="I120" s="44"/>
      <c r="J120" s="42"/>
      <c r="K120" s="42"/>
      <c r="L120" s="96"/>
    </row>
    <row r="121" spans="1:12" x14ac:dyDescent="0.25">
      <c r="A121" s="42"/>
      <c r="B121" s="84" t="str">
        <f t="shared" si="1"/>
        <v/>
      </c>
      <c r="C121" s="84" t="str">
        <f>IF(F121="","",IF(G121="","",IF(Roster!$D$24="English",IF(F121&gt;G121,"Won",IF(F121=G121,"Tied","Lost")),IF(F121&gt;G121,"Victoria",IF(F121=G121,"Empate","Derrota")))))</f>
        <v/>
      </c>
      <c r="D121" s="42"/>
      <c r="E121" s="42"/>
      <c r="F121" s="43"/>
      <c r="G121" s="44"/>
      <c r="H121" s="43"/>
      <c r="I121" s="44"/>
      <c r="J121" s="42"/>
      <c r="K121" s="42"/>
      <c r="L121" s="96"/>
    </row>
    <row r="122" spans="1:12" x14ac:dyDescent="0.25">
      <c r="A122" s="42"/>
      <c r="B122" s="84" t="str">
        <f t="shared" si="1"/>
        <v/>
      </c>
      <c r="C122" s="84" t="str">
        <f>IF(F122="","",IF(G122="","",IF(Roster!$D$24="English",IF(F122&gt;G122,"Won",IF(F122=G122,"Tied","Lost")),IF(F122&gt;G122,"Victoria",IF(F122=G122,"Empate","Derrota")))))</f>
        <v/>
      </c>
      <c r="D122" s="42"/>
      <c r="E122" s="42"/>
      <c r="F122" s="43"/>
      <c r="G122" s="44"/>
      <c r="H122" s="43"/>
      <c r="I122" s="44"/>
      <c r="J122" s="42"/>
      <c r="K122" s="42"/>
      <c r="L122" s="96"/>
    </row>
    <row r="123" spans="1:12" x14ac:dyDescent="0.25">
      <c r="A123" s="42"/>
      <c r="B123" s="84" t="str">
        <f t="shared" si="1"/>
        <v/>
      </c>
      <c r="C123" s="84" t="str">
        <f>IF(F123="","",IF(G123="","",IF(Roster!$D$24="English",IF(F123&gt;G123,"Won",IF(F123=G123,"Tied","Lost")),IF(F123&gt;G123,"Victoria",IF(F123=G123,"Empate","Derrota")))))</f>
        <v/>
      </c>
      <c r="D123" s="42"/>
      <c r="E123" s="42"/>
      <c r="F123" s="43"/>
      <c r="G123" s="44"/>
      <c r="H123" s="43"/>
      <c r="I123" s="44"/>
      <c r="J123" s="42"/>
      <c r="K123" s="42"/>
      <c r="L123" s="96"/>
    </row>
    <row r="124" spans="1:12" x14ac:dyDescent="0.25">
      <c r="A124" s="42"/>
      <c r="B124" s="84" t="str">
        <f t="shared" si="1"/>
        <v/>
      </c>
      <c r="C124" s="84" t="str">
        <f>IF(F124="","",IF(G124="","",IF(Roster!$D$24="English",IF(F124&gt;G124,"Won",IF(F124=G124,"Tied","Lost")),IF(F124&gt;G124,"Victoria",IF(F124=G124,"Empate","Derrota")))))</f>
        <v/>
      </c>
      <c r="D124" s="42"/>
      <c r="E124" s="42"/>
      <c r="F124" s="43"/>
      <c r="G124" s="44"/>
      <c r="H124" s="43"/>
      <c r="I124" s="44"/>
      <c r="J124" s="42"/>
      <c r="K124" s="42"/>
      <c r="L124" s="96"/>
    </row>
    <row r="125" spans="1:12" x14ac:dyDescent="0.25">
      <c r="A125" s="42"/>
      <c r="B125" s="84" t="str">
        <f t="shared" si="1"/>
        <v/>
      </c>
      <c r="C125" s="84" t="str">
        <f>IF(F125="","",IF(G125="","",IF(Roster!$D$24="English",IF(F125&gt;G125,"Won",IF(F125=G125,"Tied","Lost")),IF(F125&gt;G125,"Victoria",IF(F125=G125,"Empate","Derrota")))))</f>
        <v/>
      </c>
      <c r="D125" s="42"/>
      <c r="E125" s="42"/>
      <c r="F125" s="43"/>
      <c r="G125" s="44"/>
      <c r="H125" s="43"/>
      <c r="I125" s="44"/>
      <c r="J125" s="42"/>
      <c r="K125" s="42"/>
      <c r="L125" s="96"/>
    </row>
    <row r="126" spans="1:12" x14ac:dyDescent="0.25">
      <c r="A126" s="42"/>
      <c r="B126" s="84" t="str">
        <f t="shared" si="1"/>
        <v/>
      </c>
      <c r="C126" s="84" t="str">
        <f>IF(F126="","",IF(G126="","",IF(Roster!$D$24="English",IF(F126&gt;G126,"Won",IF(F126=G126,"Tied","Lost")),IF(F126&gt;G126,"Victoria",IF(F126=G126,"Empate","Derrota")))))</f>
        <v/>
      </c>
      <c r="D126" s="42"/>
      <c r="E126" s="42"/>
      <c r="F126" s="43"/>
      <c r="G126" s="44"/>
      <c r="H126" s="43"/>
      <c r="I126" s="44"/>
      <c r="J126" s="42"/>
      <c r="K126" s="42"/>
      <c r="L126" s="96"/>
    </row>
    <row r="127" spans="1:12" x14ac:dyDescent="0.25">
      <c r="A127" s="42"/>
      <c r="B127" s="84" t="str">
        <f t="shared" si="1"/>
        <v/>
      </c>
      <c r="C127" s="84" t="str">
        <f>IF(F127="","",IF(G127="","",IF(Roster!$D$24="English",IF(F127&gt;G127,"Won",IF(F127=G127,"Tied","Lost")),IF(F127&gt;G127,"Victoria",IF(F127=G127,"Empate","Derrota")))))</f>
        <v/>
      </c>
      <c r="D127" s="42"/>
      <c r="E127" s="42"/>
      <c r="F127" s="43"/>
      <c r="G127" s="44"/>
      <c r="H127" s="43"/>
      <c r="I127" s="44"/>
      <c r="J127" s="42"/>
      <c r="K127" s="42"/>
      <c r="L127" s="96"/>
    </row>
    <row r="128" spans="1:12" x14ac:dyDescent="0.25">
      <c r="A128" s="42"/>
      <c r="B128" s="84" t="str">
        <f t="shared" si="1"/>
        <v/>
      </c>
      <c r="C128" s="84" t="str">
        <f>IF(F128="","",IF(G128="","",IF(Roster!$D$24="English",IF(F128&gt;G128,"Won",IF(F128=G128,"Tied","Lost")),IF(F128&gt;G128,"Victoria",IF(F128=G128,"Empate","Derrota")))))</f>
        <v/>
      </c>
      <c r="D128" s="42"/>
      <c r="E128" s="42"/>
      <c r="F128" s="43"/>
      <c r="G128" s="44"/>
      <c r="H128" s="43"/>
      <c r="I128" s="44"/>
      <c r="J128" s="42"/>
      <c r="K128" s="42"/>
      <c r="L128" s="96"/>
    </row>
    <row r="129" spans="1:12" x14ac:dyDescent="0.25">
      <c r="A129" s="42"/>
      <c r="B129" s="84" t="str">
        <f t="shared" si="1"/>
        <v/>
      </c>
      <c r="C129" s="84" t="str">
        <f>IF(F129="","",IF(G129="","",IF(Roster!$D$24="English",IF(F129&gt;G129,"Won",IF(F129=G129,"Tied","Lost")),IF(F129&gt;G129,"Victoria",IF(F129=G129,"Empate","Derrota")))))</f>
        <v/>
      </c>
      <c r="D129" s="42"/>
      <c r="E129" s="42"/>
      <c r="F129" s="43"/>
      <c r="G129" s="44"/>
      <c r="H129" s="43"/>
      <c r="I129" s="44"/>
      <c r="J129" s="42"/>
      <c r="K129" s="42"/>
      <c r="L129" s="96"/>
    </row>
    <row r="130" spans="1:12" x14ac:dyDescent="0.25">
      <c r="A130" s="42"/>
      <c r="B130" s="84" t="str">
        <f t="shared" si="1"/>
        <v/>
      </c>
      <c r="C130" s="84" t="str">
        <f>IF(F130="","",IF(G130="","",IF(Roster!$D$24="English",IF(F130&gt;G130,"Won",IF(F130=G130,"Tied","Lost")),IF(F130&gt;G130,"Victoria",IF(F130=G130,"Empate","Derrota")))))</f>
        <v/>
      </c>
      <c r="D130" s="42"/>
      <c r="E130" s="42"/>
      <c r="F130" s="43"/>
      <c r="G130" s="44"/>
      <c r="H130" s="43"/>
      <c r="I130" s="44"/>
      <c r="J130" s="42"/>
      <c r="K130" s="42"/>
      <c r="L130" s="96"/>
    </row>
    <row r="131" spans="1:12" x14ac:dyDescent="0.25">
      <c r="A131" s="42"/>
      <c r="B131" s="84" t="str">
        <f t="shared" si="1"/>
        <v/>
      </c>
      <c r="C131" s="84" t="str">
        <f>IF(F131="","",IF(G131="","",IF(Roster!$D$24="English",IF(F131&gt;G131,"Won",IF(F131=G131,"Tied","Lost")),IF(F131&gt;G131,"Victoria",IF(F131=G131,"Empate","Derrota")))))</f>
        <v/>
      </c>
      <c r="D131" s="42"/>
      <c r="E131" s="42"/>
      <c r="F131" s="43"/>
      <c r="G131" s="44"/>
      <c r="H131" s="43"/>
      <c r="I131" s="44"/>
      <c r="J131" s="42"/>
      <c r="K131" s="42"/>
      <c r="L131" s="96"/>
    </row>
    <row r="132" spans="1:12" x14ac:dyDescent="0.25">
      <c r="A132" s="42"/>
      <c r="B132" s="84" t="str">
        <f t="shared" si="1"/>
        <v/>
      </c>
      <c r="C132" s="84" t="str">
        <f>IF(F132="","",IF(G132="","",IF(Roster!$D$24="English",IF(F132&gt;G132,"Won",IF(F132=G132,"Tied","Lost")),IF(F132&gt;G132,"Victoria",IF(F132=G132,"Empate","Derrota")))))</f>
        <v/>
      </c>
      <c r="D132" s="42"/>
      <c r="E132" s="42"/>
      <c r="F132" s="43"/>
      <c r="G132" s="44"/>
      <c r="H132" s="43"/>
      <c r="I132" s="44"/>
      <c r="J132" s="42"/>
      <c r="K132" s="42"/>
      <c r="L132" s="96"/>
    </row>
    <row r="133" spans="1:12" x14ac:dyDescent="0.25">
      <c r="A133" s="42"/>
      <c r="B133" s="84" t="str">
        <f t="shared" si="1"/>
        <v/>
      </c>
      <c r="C133" s="84" t="str">
        <f>IF(F133="","",IF(G133="","",IF(Roster!$D$24="English",IF(F133&gt;G133,"Won",IF(F133=G133,"Tied","Lost")),IF(F133&gt;G133,"Victoria",IF(F133=G133,"Empate","Derrota")))))</f>
        <v/>
      </c>
      <c r="D133" s="42"/>
      <c r="E133" s="42"/>
      <c r="F133" s="43"/>
      <c r="G133" s="44"/>
      <c r="H133" s="43"/>
      <c r="I133" s="44"/>
      <c r="J133" s="42"/>
      <c r="K133" s="42"/>
      <c r="L133" s="96"/>
    </row>
    <row r="134" spans="1:12" ht="15.75" thickBot="1" x14ac:dyDescent="0.3">
      <c r="A134" s="45"/>
      <c r="B134" s="85" t="str">
        <f>IF(D134="",IF(E134="",IF(F134="",IF(G134="",IF(H134="",IF(I134="",IF(J134="",IF(K134="","",40),40),40),40),40),40),40),40)</f>
        <v/>
      </c>
      <c r="C134" s="102" t="str">
        <f>IF(F134="","",IF(G134="","",IF(Roster!$D$24="English",IF(F134&gt;G134,"Won",IF(F134=G134,"Tied","Lost")),IF(F134&gt;G134,"Victoria",IF(F134=G134,"Empate","Derrota")))))</f>
        <v/>
      </c>
      <c r="D134" s="45"/>
      <c r="E134" s="45"/>
      <c r="F134" s="46"/>
      <c r="G134" s="47"/>
      <c r="H134" s="46"/>
      <c r="I134" s="47"/>
      <c r="J134" s="45"/>
      <c r="K134" s="45"/>
      <c r="L134" s="97"/>
    </row>
  </sheetData>
  <sheetProtection algorithmName="SHA-512" hashValue="6n6372Hf3OHTL0Dedc1/GA34tYk5y/h0bW0d8X5ezDqkDGkIvY2DfXQ2MO0aQa/z84OptiGQsn4hiXktySkwAw==" saltValue="9uaRnQGSRGNV0uWGk9BDbA==" spinCount="100000" sheet="1" objects="1" scenarios="1" formatCells="0" selectLockedCells="1"/>
  <mergeCells count="10">
    <mergeCell ref="J1:J2"/>
    <mergeCell ref="K1:K2"/>
    <mergeCell ref="L1:L2"/>
    <mergeCell ref="A1:A2"/>
    <mergeCell ref="B1:B2"/>
    <mergeCell ref="C1:C2"/>
    <mergeCell ref="D1:D2"/>
    <mergeCell ref="E1:E2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U16"/>
  <sheetViews>
    <sheetView showGridLines="0" workbookViewId="0"/>
  </sheetViews>
  <sheetFormatPr baseColWidth="10" defaultColWidth="11.42578125" defaultRowHeight="12.75" x14ac:dyDescent="0.25"/>
  <cols>
    <col min="1" max="1" width="2.5703125" style="86" customWidth="1"/>
    <col min="2" max="16" width="3.5703125" style="86" customWidth="1"/>
    <col min="17" max="17" width="2.5703125" style="87" customWidth="1"/>
    <col min="18" max="18" width="5.5703125" style="86" customWidth="1"/>
    <col min="19" max="19" width="12.5703125" style="86" customWidth="1"/>
    <col min="20" max="16384" width="11.42578125" style="86"/>
  </cols>
  <sheetData>
    <row r="1" spans="2:21" ht="13.5" thickBot="1" x14ac:dyDescent="0.3"/>
    <row r="2" spans="2:21" ht="19.5" customHeight="1" x14ac:dyDescent="0.25">
      <c r="B2" s="8">
        <v>13</v>
      </c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14"/>
      <c r="S2" s="89" t="str">
        <f>IF(Roster!$D$24="English","Long Bomb","Bomba Larga")</f>
        <v>Bomba Larga</v>
      </c>
    </row>
    <row r="3" spans="2:21" ht="19.5" customHeight="1" x14ac:dyDescent="0.25">
      <c r="B3" s="8">
        <v>12</v>
      </c>
      <c r="C3" s="13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6"/>
      <c r="R3" s="88"/>
      <c r="S3" s="88"/>
    </row>
    <row r="4" spans="2:21" ht="19.5" customHeight="1" x14ac:dyDescent="0.25">
      <c r="B4" s="8">
        <v>11</v>
      </c>
      <c r="C4" s="13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6"/>
      <c r="R4" s="18"/>
      <c r="S4" s="89" t="str">
        <f>IF(Roster!$D$24="English","Long Pass","Pase Largo")</f>
        <v>Pase Largo</v>
      </c>
    </row>
    <row r="5" spans="2:21" ht="19.5" customHeight="1" x14ac:dyDescent="0.25">
      <c r="B5" s="8">
        <v>10</v>
      </c>
      <c r="C5" s="17"/>
      <c r="D5" s="18"/>
      <c r="E5" s="18"/>
      <c r="F5" s="14"/>
      <c r="G5" s="14"/>
      <c r="H5" s="14"/>
      <c r="I5" s="14"/>
      <c r="J5" s="14"/>
      <c r="K5" s="14"/>
      <c r="L5" s="15"/>
      <c r="M5" s="15"/>
      <c r="N5" s="15"/>
      <c r="O5" s="15"/>
      <c r="P5" s="16"/>
      <c r="R5" s="88"/>
      <c r="S5" s="88"/>
    </row>
    <row r="6" spans="2:21" ht="19.5" customHeight="1" x14ac:dyDescent="0.25">
      <c r="B6" s="8">
        <v>9</v>
      </c>
      <c r="C6" s="17"/>
      <c r="D6" s="18"/>
      <c r="E6" s="18"/>
      <c r="F6" s="18"/>
      <c r="G6" s="18"/>
      <c r="H6" s="14"/>
      <c r="I6" s="14"/>
      <c r="J6" s="14"/>
      <c r="K6" s="14"/>
      <c r="L6" s="14"/>
      <c r="M6" s="15"/>
      <c r="N6" s="15"/>
      <c r="O6" s="15"/>
      <c r="P6" s="16"/>
      <c r="R6" s="20"/>
      <c r="S6" s="89" t="str">
        <f>IF(Roster!$D$24="English","Short Pass","Pase Corto")</f>
        <v>Pase Corto</v>
      </c>
    </row>
    <row r="7" spans="2:21" ht="19.5" customHeight="1" x14ac:dyDescent="0.25">
      <c r="B7" s="8">
        <v>8</v>
      </c>
      <c r="C7" s="17"/>
      <c r="D7" s="18"/>
      <c r="E7" s="18"/>
      <c r="F7" s="18"/>
      <c r="G7" s="18"/>
      <c r="H7" s="18"/>
      <c r="I7" s="18"/>
      <c r="J7" s="14"/>
      <c r="K7" s="14"/>
      <c r="L7" s="14"/>
      <c r="M7" s="14"/>
      <c r="N7" s="15"/>
      <c r="O7" s="15"/>
      <c r="P7" s="16"/>
      <c r="R7" s="88"/>
      <c r="S7" s="88"/>
    </row>
    <row r="8" spans="2:21" ht="19.5" customHeight="1" x14ac:dyDescent="0.25">
      <c r="B8" s="8">
        <v>7</v>
      </c>
      <c r="C8" s="17"/>
      <c r="D8" s="18"/>
      <c r="E8" s="18"/>
      <c r="F8" s="18"/>
      <c r="G8" s="18"/>
      <c r="H8" s="18"/>
      <c r="I8" s="18"/>
      <c r="J8" s="18"/>
      <c r="K8" s="14"/>
      <c r="L8" s="14"/>
      <c r="M8" s="14"/>
      <c r="N8" s="15"/>
      <c r="O8" s="15"/>
      <c r="P8" s="16"/>
      <c r="R8" s="22"/>
      <c r="S8" s="89" t="str">
        <f>IF(Roster!$D$24="English","Quick Pass","Pase Rápido")</f>
        <v>Pase Rápido</v>
      </c>
    </row>
    <row r="9" spans="2:21" ht="19.5" customHeight="1" x14ac:dyDescent="0.25">
      <c r="B9" s="8">
        <v>6</v>
      </c>
      <c r="C9" s="19"/>
      <c r="D9" s="20"/>
      <c r="E9" s="20"/>
      <c r="F9" s="20"/>
      <c r="G9" s="18"/>
      <c r="H9" s="18"/>
      <c r="I9" s="18"/>
      <c r="J9" s="18"/>
      <c r="K9" s="18"/>
      <c r="L9" s="14"/>
      <c r="M9" s="14"/>
      <c r="N9" s="14"/>
      <c r="O9" s="15"/>
      <c r="P9" s="16"/>
      <c r="R9" s="88"/>
      <c r="S9" s="88"/>
    </row>
    <row r="10" spans="2:21" ht="19.5" customHeight="1" x14ac:dyDescent="0.25">
      <c r="B10" s="8">
        <v>5</v>
      </c>
      <c r="C10" s="19"/>
      <c r="D10" s="20"/>
      <c r="E10" s="20"/>
      <c r="F10" s="20"/>
      <c r="G10" s="20"/>
      <c r="H10" s="18"/>
      <c r="I10" s="18"/>
      <c r="J10" s="18"/>
      <c r="K10" s="18"/>
      <c r="L10" s="14"/>
      <c r="M10" s="14"/>
      <c r="N10" s="14"/>
      <c r="O10" s="15"/>
      <c r="P10" s="16"/>
      <c r="R10" s="90"/>
      <c r="S10" s="91" t="str">
        <f>IF(Roster!$D$24="English","Thrower","Lanzador")</f>
        <v>Lanzador</v>
      </c>
    </row>
    <row r="11" spans="2:21" ht="19.5" customHeight="1" x14ac:dyDescent="0.25">
      <c r="B11" s="8">
        <v>4</v>
      </c>
      <c r="C11" s="19"/>
      <c r="D11" s="20"/>
      <c r="E11" s="20"/>
      <c r="F11" s="20"/>
      <c r="G11" s="20"/>
      <c r="H11" s="20"/>
      <c r="I11" s="18"/>
      <c r="J11" s="18"/>
      <c r="K11" s="18"/>
      <c r="L11" s="18"/>
      <c r="M11" s="14"/>
      <c r="N11" s="14"/>
      <c r="O11" s="14"/>
      <c r="P11" s="16"/>
    </row>
    <row r="12" spans="2:21" ht="19.5" customHeight="1" x14ac:dyDescent="0.25">
      <c r="B12" s="8">
        <v>3</v>
      </c>
      <c r="C12" s="21"/>
      <c r="D12" s="22"/>
      <c r="E12" s="20"/>
      <c r="F12" s="20"/>
      <c r="G12" s="20"/>
      <c r="H12" s="20"/>
      <c r="I12" s="20"/>
      <c r="J12" s="18"/>
      <c r="K12" s="18"/>
      <c r="L12" s="18"/>
      <c r="M12" s="14"/>
      <c r="N12" s="14"/>
      <c r="O12" s="14"/>
      <c r="P12" s="16"/>
    </row>
    <row r="13" spans="2:21" ht="19.5" customHeight="1" x14ac:dyDescent="0.25">
      <c r="B13" s="8">
        <v>2</v>
      </c>
      <c r="C13" s="21"/>
      <c r="D13" s="22"/>
      <c r="E13" s="22"/>
      <c r="F13" s="20"/>
      <c r="G13" s="20"/>
      <c r="H13" s="20"/>
      <c r="I13" s="20"/>
      <c r="J13" s="18"/>
      <c r="K13" s="18"/>
      <c r="L13" s="18"/>
      <c r="M13" s="18"/>
      <c r="N13" s="14"/>
      <c r="O13" s="14"/>
      <c r="P13" s="16"/>
    </row>
    <row r="14" spans="2:21" ht="19.5" customHeight="1" x14ac:dyDescent="0.25">
      <c r="B14" s="8">
        <v>1</v>
      </c>
      <c r="C14" s="21"/>
      <c r="D14" s="22"/>
      <c r="E14" s="22"/>
      <c r="F14" s="22"/>
      <c r="G14" s="20"/>
      <c r="H14" s="20"/>
      <c r="I14" s="20"/>
      <c r="J14" s="18"/>
      <c r="K14" s="18"/>
      <c r="L14" s="18"/>
      <c r="M14" s="18"/>
      <c r="N14" s="14"/>
      <c r="O14" s="14"/>
      <c r="P14" s="23"/>
    </row>
    <row r="15" spans="2:21" ht="19.5" customHeight="1" thickBot="1" x14ac:dyDescent="0.3">
      <c r="B15" s="8">
        <v>0</v>
      </c>
      <c r="C15" s="61"/>
      <c r="D15" s="24"/>
      <c r="E15" s="24"/>
      <c r="F15" s="24"/>
      <c r="G15" s="25"/>
      <c r="H15" s="25"/>
      <c r="I15" s="25"/>
      <c r="J15" s="26"/>
      <c r="K15" s="26"/>
      <c r="L15" s="26"/>
      <c r="M15" s="26"/>
      <c r="N15" s="27"/>
      <c r="O15" s="27"/>
      <c r="P15" s="28"/>
    </row>
    <row r="16" spans="2:21" ht="19.5" customHeight="1" x14ac:dyDescent="0.25">
      <c r="B16" s="29"/>
      <c r="C16" s="30">
        <v>0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30">
        <v>12</v>
      </c>
      <c r="P16" s="30">
        <v>13</v>
      </c>
      <c r="U16" s="87"/>
    </row>
  </sheetData>
  <sheetProtection algorithmName="SHA-512" hashValue="u3hYDwD31vfABAhxd1MwClMqmsXOo4g+yanWpPLFS37ILORRj9r1daycM1Ht3SbqsXRB4gmBxiXl6ia8ya5aBA==" saltValue="LSm/szFDmJRKnrMqGRSd3g==" spinCount="100000" sheet="1" objects="1" scenarios="1" formatCells="0" selectLockedCells="1"/>
  <printOptions horizontalCentered="1"/>
  <pageMargins left="0.78740157480314965" right="0.78740157480314965" top="0.98425196850393704" bottom="0.98425196850393704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Roster</vt:lpstr>
      <vt:lpstr>Record Chart</vt:lpstr>
      <vt:lpstr>Pass</vt:lpstr>
      <vt:lpstr>Roster!Área_de_impresión</vt:lpstr>
      <vt:lpstr>HECHICEROS</vt:lpstr>
      <vt:lpstr>IDIOMAS</vt:lpstr>
      <vt:lpstr>INFAME</vt:lpstr>
      <vt:lpstr>INFAMOUS</vt:lpstr>
      <vt:lpstr>PERSONAL_INFAME</vt:lpstr>
      <vt:lpstr>RACE</vt:lpstr>
      <vt:lpstr>RAZA</vt:lpstr>
      <vt:lpstr>'Record Chart'!Títulos_a_imprimir</vt:lpstr>
      <vt:lpstr>WIZARDS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Nacho</cp:lastModifiedBy>
  <cp:lastPrinted>2019-12-23T15:05:32Z</cp:lastPrinted>
  <dcterms:created xsi:type="dcterms:W3CDTF">2017-12-15T15:07:50Z</dcterms:created>
  <dcterms:modified xsi:type="dcterms:W3CDTF">2019-12-23T15:05:45Z</dcterms:modified>
</cp:coreProperties>
</file>